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918C4F60-5CA9-A044-A0F0-FE7653405C8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9" i="2"/>
  <c r="O7" i="2"/>
  <c r="G7" i="2"/>
  <c r="E7" i="2"/>
  <c r="O6" i="2"/>
  <c r="G6" i="2"/>
  <c r="E6" i="2"/>
  <c r="C6" i="2"/>
  <c r="O5" i="2"/>
  <c r="O8" i="2" s="1"/>
  <c r="O12" i="2" s="1"/>
  <c r="G5" i="2"/>
  <c r="C5" i="2"/>
  <c r="C4" i="2"/>
  <c r="A4" i="2"/>
  <c r="G3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5" i="2" l="1"/>
  <c r="K13" i="2"/>
  <c r="K11" i="2"/>
  <c r="E5" i="2"/>
  <c r="G4" i="2"/>
  <c r="O21" i="2"/>
  <c r="A6" i="2"/>
  <c r="A7" i="2"/>
  <c r="O23" i="2" l="1"/>
  <c r="O22" i="2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<sst xmlns="http://schemas.openxmlformats.org/spreadsheetml/2006/main" count="1255" uniqueCount="250">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</sst>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4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4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4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164" fontId="4" fillId="9" borderId="0" xfId="0" applyNumberFormat="1" applyFont="1" applyFill="1" applyAlignment="1">
      <alignment horizontal="right" vertical="center" indent="1"/>
    </xf>
    <xf numFmtId="9" fontId="14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4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4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5" fillId="11" borderId="6" xfId="0" applyFont="1" applyFill="1" applyBorder="1" applyAlignment="1">
      <alignment horizontal="left" vertical="center" wrapText="1"/>
    </xf>
    <xf numFmtId="164" fontId="16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4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9" xfId="1" applyFont="1" applyFill="1" applyBorder="1" applyAlignment="1">
      <alignment horizontal="left" vertical="center" indent="1"/>
    </xf>
    <xf numFmtId="0" fontId="15" fillId="11" borderId="10" xfId="0" applyFont="1" applyFill="1" applyBorder="1" applyAlignment="1">
      <alignment horizontal="left" vertical="center" wrapText="1"/>
    </xf>
    <xf numFmtId="164" fontId="16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4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4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8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7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9" fillId="11" borderId="10" xfId="0" applyFont="1" applyFill="1" applyBorder="1" applyAlignment="1">
      <alignment horizontal="left" vertical="center" wrapText="1"/>
    </xf>
    <xf numFmtId="10" fontId="20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right" vertical="center" indent="1"/>
    </xf>
    <xf numFmtId="0" fontId="22" fillId="14" borderId="0" xfId="0" applyFont="1" applyFill="1" applyAlignment="1">
      <alignment horizontal="right" vertical="center" indent="1"/>
    </xf>
    <xf numFmtId="0" fontId="23" fillId="14" borderId="0" xfId="0" applyFont="1" applyFill="1" applyAlignment="1">
      <alignment horizontal="right" vertical="center" indent="1"/>
    </xf>
    <xf numFmtId="0" fontId="1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21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6" fillId="11" borderId="9" xfId="0" applyNumberFormat="1" applyFont="1" applyFill="1" applyBorder="1" applyAlignment="1">
      <alignment vertical="center"/>
    </xf>
    <xf numFmtId="0" fontId="15" fillId="11" borderId="11" xfId="0" applyFont="1" applyFill="1" applyBorder="1" applyAlignment="1">
      <alignment horizontal="left" vertical="center" wrapText="1"/>
    </xf>
    <xf numFmtId="10" fontId="16" fillId="11" borderId="12" xfId="0" applyNumberFormat="1" applyFont="1" applyFill="1" applyBorder="1" applyAlignment="1">
      <alignment vertical="center"/>
    </xf>
    <xf numFmtId="0" fontId="25" fillId="11" borderId="0" xfId="0" applyFont="1" applyFill="1" applyAlignment="1">
      <alignment horizontal="left" vertical="center" indent="1"/>
    </xf>
    <xf numFmtId="2" fontId="16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9" fillId="11" borderId="11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164" fontId="16" fillId="11" borderId="9" xfId="0" applyNumberFormat="1" applyFont="1" applyFill="1" applyBorder="1" applyAlignment="1">
      <alignment horizontal="right" vertical="center"/>
    </xf>
    <xf numFmtId="10" fontId="20" fillId="11" borderId="9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0" fontId="14" fillId="12" borderId="1" xfId="0" applyFont="1" applyFill="1" applyBorder="1" applyAlignment="1">
      <alignment horizontal="left" vertical="center" indent="1"/>
    </xf>
    <xf numFmtId="0" fontId="14" fillId="12" borderId="1" xfId="0" applyFont="1" applyFill="1" applyBorder="1" applyAlignment="1">
      <alignment horizontal="left" vertical="center" wrapText="1" indent="2"/>
    </xf>
    <xf numFmtId="9" fontId="17" fillId="10" borderId="7" xfId="1" applyFont="1" applyFill="1" applyBorder="1" applyAlignment="1">
      <alignment horizontal="center" vertical="center"/>
    </xf>
    <xf numFmtId="9" fontId="17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4.8399999999999999E-2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375.93</v>
    <v>282.20999999999998</v>
    <v>0.45019999999999999</v>
    <v>-1.76</v>
    <v>-4.8479999999999999E-3</v>
    <v>0</v>
    <v>0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365.66</v>
    <v>Biotechnology &amp; Medical Research</v>
    <v>Stock</v>
    <v>45225.991112974218</v>
    <v>0</v>
    <v>360.02</v>
    <v>93244489344</v>
    <v>VERTEX PHARMACEUTICALS INCORPORATED</v>
    <v>VERTEX PHARMACEUTICALS INCORPORATED</v>
    <v>362.03</v>
    <v>28.062799999999999</v>
    <v>363.04</v>
    <v>361.28</v>
    <v>361.28</v>
    <v>258094800</v>
    <v>VRTX</v>
    <v>VERTEX PHARMACEUTICALS INCORPORATED (XNAS:VRTX)</v>
    <v>942228</v>
    <v>1101902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5" workbookViewId="0">
      <pane xSplit="1" topLeftCell="J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ht="16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ht="16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ht="16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ht="16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ht="16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ht="16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ht="16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ht="16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ht="16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ht="16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ht="16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ht="16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ht="16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ht="16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ht="16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ht="16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ht="16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ht="16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ht="16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ht="16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ht="16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ht="16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ht="16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ht="16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ht="16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ht="16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ht="16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ht="16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ht="16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ht="16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ht="16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ht="16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ht="16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ht="16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ht="16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ht="16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ht="16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ht="16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ht="16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ht="16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ht="16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ht="16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ht="16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ht="16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ht="16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ht="16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ht="16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ht="16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ht="16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ht="16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ht="16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ht="16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ht="16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ht="16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ht="16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ht="16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ht="16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ht="16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ht="16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ht="16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ht="16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ht="16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ht="16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ht="16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ht="16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ht="16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ht="16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ht="16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ht="16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ht="16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ht="16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ht="16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ht="16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ht="16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ht="16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ht="16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ht="16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ht="16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ht="16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ht="16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ht="16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ht="16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ht="16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ht="16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ht="16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ht="16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ht="16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ht="16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ht="16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ht="16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5:S16 A19:S33 A37:S95 A2:S2 A9:S11 A13:S13 A191:S195 A96:N96 Q96 A97:S128 A130:S142 A144:S187 A188:C188 K188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P110"/>
  <sheetViews>
    <sheetView tabSelected="1" workbookViewId="0">
      <selection activeCell="G24" sqref="G24"/>
    </sheetView>
  </sheetViews>
  <sheetFormatPr baseColWidth="10" defaultRowHeight="15" x14ac:dyDescent="0.2"/>
  <cols>
    <col min="1" max="16" width="18.83203125" customWidth="1"/>
  </cols>
  <sheetData>
    <row r="1" spans="1:16" s="118" customFormat="1" ht="22" customHeight="1" x14ac:dyDescent="0.2">
      <c r="A1" s="117" t="e" vm="1">
        <v>#VALUE!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s="118" customFormat="1" ht="22" customHeight="1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1:16" ht="22" customHeight="1" x14ac:dyDescent="0.2">
      <c r="A3" s="41" cm="1">
        <f t="array" ref="A3">_FV(A1,"Market cap",TRUE)</f>
        <v>93244489344</v>
      </c>
      <c r="B3" s="42" t="s">
        <v>201</v>
      </c>
      <c r="C3" s="43">
        <f>Financials!O8*0.01</f>
        <v>0.87919999999999998</v>
      </c>
      <c r="D3" s="42" t="s">
        <v>202</v>
      </c>
      <c r="E3" s="43">
        <f>SUM(C11:E11)/3</f>
        <v>0.29678738032920426</v>
      </c>
      <c r="F3" s="44" t="s">
        <v>203</v>
      </c>
      <c r="G3" s="45">
        <f>SUM(Financials!K129:N129)/4</f>
        <v>1.8920446229682142E-3</v>
      </c>
      <c r="H3" s="44" t="s">
        <v>204</v>
      </c>
      <c r="I3" s="46">
        <f>J14*(1+I7)/(I6-I7)</f>
        <v>161708072886.94641</v>
      </c>
      <c r="J3" s="42" t="s">
        <v>205</v>
      </c>
      <c r="K3" s="47"/>
      <c r="L3" s="48"/>
      <c r="M3" s="49"/>
      <c r="N3" s="119" t="s">
        <v>206</v>
      </c>
      <c r="O3" s="120"/>
      <c r="P3" s="49"/>
    </row>
    <row r="4" spans="1:16" ht="22" customHeight="1" x14ac:dyDescent="0.2">
      <c r="A4" s="50">
        <f>Financials!O56-Financials!O96-Financials!O105</f>
        <v>10468700000</v>
      </c>
      <c r="B4" s="51" t="s">
        <v>207</v>
      </c>
      <c r="C4" s="52">
        <f>Financials!O17*0.01</f>
        <v>0.47039999999999998</v>
      </c>
      <c r="D4" s="51" t="s">
        <v>208</v>
      </c>
      <c r="E4" s="52">
        <f>SUM(C13:E13)/3</f>
        <v>0.52877966874916127</v>
      </c>
      <c r="F4" s="53" t="s">
        <v>209</v>
      </c>
      <c r="G4" s="54">
        <f>A5*(1+(5*G3))</f>
        <v>260536434.39278027</v>
      </c>
      <c r="H4" s="55" t="s">
        <v>210</v>
      </c>
      <c r="I4" s="56">
        <f>NPV(I6,F14,G14,H14,I14,(J14+I3))</f>
        <v>138781350188.47372</v>
      </c>
      <c r="J4" s="53" t="s">
        <v>211</v>
      </c>
      <c r="K4" s="45" cm="1">
        <f t="array" ref="K4">_FV(A1,"Change (%)",TRUE)</f>
        <v>-4.8479999999999999E-3</v>
      </c>
      <c r="L4" s="44" t="s">
        <v>212</v>
      </c>
      <c r="M4" s="49"/>
      <c r="N4" s="121" t="s">
        <v>213</v>
      </c>
      <c r="O4" s="122"/>
      <c r="P4" s="49"/>
    </row>
    <row r="5" spans="1:16" ht="22" customHeight="1" x14ac:dyDescent="0.2">
      <c r="A5" s="54" cm="1">
        <f t="array" ref="A5">_FV(A1,"Shares outstanding",TRUE)</f>
        <v>258094800</v>
      </c>
      <c r="B5" s="51" t="s">
        <v>214</v>
      </c>
      <c r="C5" s="57">
        <f>Financials!O34*0.01</f>
        <v>0.35399999999999998</v>
      </c>
      <c r="D5" s="51" t="s">
        <v>215</v>
      </c>
      <c r="E5" s="52">
        <f>SUM(C15:E15)/3</f>
        <v>0.46447590556665563</v>
      </c>
      <c r="F5" s="53" t="s">
        <v>216</v>
      </c>
      <c r="G5" s="54">
        <f>Financials!O56</f>
        <v>11236300000</v>
      </c>
      <c r="H5" s="55" t="s">
        <v>217</v>
      </c>
      <c r="I5" s="56">
        <f>I4+G5-G6</f>
        <v>149250050188.47372</v>
      </c>
      <c r="J5" s="53" t="s">
        <v>218</v>
      </c>
      <c r="K5" s="58" cm="1">
        <f t="array" ref="K5">_FV(A1,"Price")</f>
        <v>361.28</v>
      </c>
      <c r="L5" s="51" t="s">
        <v>219</v>
      </c>
      <c r="M5" s="49"/>
      <c r="N5" s="59" t="s">
        <v>220</v>
      </c>
      <c r="O5" s="60">
        <f>Financials!O21</f>
        <v>47900000</v>
      </c>
      <c r="P5" s="49"/>
    </row>
    <row r="6" spans="1:16" ht="22" customHeight="1" x14ac:dyDescent="0.2">
      <c r="A6" s="61">
        <f>O20/F10</f>
        <v>9.4434362309094588</v>
      </c>
      <c r="B6" s="51" t="s">
        <v>221</v>
      </c>
      <c r="C6" s="52">
        <f>Financials!O190</f>
        <v>0.41200730699631771</v>
      </c>
      <c r="D6" s="62" t="s">
        <v>200</v>
      </c>
      <c r="E6" s="52">
        <f>Financials!O33/Financials!O126</f>
        <v>0.21750850021331333</v>
      </c>
      <c r="F6" s="51" t="s">
        <v>222</v>
      </c>
      <c r="G6" s="56">
        <f>Financials!O96+Financials!O105</f>
        <v>767600000</v>
      </c>
      <c r="H6" s="55" t="s">
        <v>223</v>
      </c>
      <c r="I6" s="63">
        <f>N25</f>
        <v>6.4299212998740737E-2</v>
      </c>
      <c r="J6" s="55" t="s">
        <v>224</v>
      </c>
      <c r="K6" s="64">
        <f>I5/G4</f>
        <v>572.85673129105203</v>
      </c>
      <c r="L6" s="65" t="s">
        <v>225</v>
      </c>
      <c r="M6" s="49"/>
      <c r="N6" s="66" t="s">
        <v>226</v>
      </c>
      <c r="O6" s="67">
        <f>Financials!O96</f>
        <v>0</v>
      </c>
      <c r="P6" s="49"/>
    </row>
    <row r="7" spans="1:16" ht="22" customHeight="1" x14ac:dyDescent="0.2">
      <c r="A7" s="68">
        <f>O20/F12</f>
        <v>23.933390488706365</v>
      </c>
      <c r="B7" s="69" t="s">
        <v>227</v>
      </c>
      <c r="C7" s="70">
        <f>F14/A3</f>
        <v>4.2554793617466773E-2</v>
      </c>
      <c r="D7" s="71" t="s">
        <v>228</v>
      </c>
      <c r="E7" s="72">
        <f>(Financials!O16*(1-0.25))/(Financials!O126+Financials!O105+Financials!O96)</f>
        <v>0.20653198093337768</v>
      </c>
      <c r="F7" s="69" t="s">
        <v>196</v>
      </c>
      <c r="G7" s="73">
        <f>(Financials!O96+Financials!O105)/Financials!O126</f>
        <v>4.9617975203940477E-2</v>
      </c>
      <c r="H7" s="74" t="s">
        <v>229</v>
      </c>
      <c r="I7" s="75">
        <v>2.5000000000000001E-2</v>
      </c>
      <c r="J7" s="76" t="s">
        <v>230</v>
      </c>
      <c r="K7" s="77">
        <f>K6/K5-1</f>
        <v>0.58563089927771284</v>
      </c>
      <c r="L7" s="78" t="s">
        <v>231</v>
      </c>
      <c r="M7" s="49"/>
      <c r="N7" s="66" t="s">
        <v>232</v>
      </c>
      <c r="O7" s="67">
        <f>Financials!O105</f>
        <v>767600000</v>
      </c>
      <c r="P7" s="49"/>
    </row>
    <row r="8" spans="1:16" ht="22" customHeight="1" x14ac:dyDescent="0.2">
      <c r="A8" s="7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0" t="s">
        <v>213</v>
      </c>
      <c r="O8" s="81">
        <f>O5/(O6+O7)</f>
        <v>6.2402292860865037E-2</v>
      </c>
      <c r="P8" s="49"/>
    </row>
    <row r="9" spans="1:16" ht="22" customHeight="1" x14ac:dyDescent="0.2">
      <c r="A9" s="82"/>
      <c r="B9" s="83">
        <v>2019</v>
      </c>
      <c r="C9" s="83">
        <v>2020</v>
      </c>
      <c r="D9" s="83">
        <v>2021</v>
      </c>
      <c r="E9" s="83">
        <v>2022</v>
      </c>
      <c r="F9" s="84">
        <v>2023</v>
      </c>
      <c r="G9" s="85">
        <v>2024</v>
      </c>
      <c r="H9" s="85">
        <v>2025</v>
      </c>
      <c r="I9" s="85">
        <v>2026</v>
      </c>
      <c r="J9" s="85">
        <v>2027</v>
      </c>
      <c r="K9" s="86"/>
      <c r="L9" s="87"/>
      <c r="M9" s="87"/>
      <c r="N9" s="66" t="s">
        <v>233</v>
      </c>
      <c r="O9" s="67">
        <f>Financials!O25</f>
        <v>941300000</v>
      </c>
      <c r="P9" s="49"/>
    </row>
    <row r="10" spans="1:16" ht="22" customHeight="1" x14ac:dyDescent="0.2">
      <c r="A10" s="88" t="s">
        <v>234</v>
      </c>
      <c r="B10" s="89">
        <v>4162821000</v>
      </c>
      <c r="C10" s="89">
        <v>6205683000</v>
      </c>
      <c r="D10" s="89">
        <v>7574400000</v>
      </c>
      <c r="E10" s="89">
        <v>8930700000</v>
      </c>
      <c r="F10" s="90">
        <v>9874000000</v>
      </c>
      <c r="G10" s="89">
        <v>10505000000</v>
      </c>
      <c r="H10" s="89">
        <v>11398000000</v>
      </c>
      <c r="I10" s="89">
        <v>12533000000</v>
      </c>
      <c r="J10" s="89">
        <v>13736000000</v>
      </c>
      <c r="K10" s="91" t="s">
        <v>235</v>
      </c>
      <c r="N10" s="66" t="s">
        <v>236</v>
      </c>
      <c r="O10" s="67">
        <f>Financials!O24</f>
        <v>4306200000</v>
      </c>
      <c r="P10" s="49"/>
    </row>
    <row r="11" spans="1:16" ht="22" customHeight="1" x14ac:dyDescent="0.2">
      <c r="A11" s="92"/>
      <c r="B11" s="93"/>
      <c r="C11" s="93">
        <f t="shared" ref="C11:J11" si="0">(C10/B10)-1</f>
        <v>0.49073981321800764</v>
      </c>
      <c r="D11" s="93">
        <f t="shared" si="0"/>
        <v>0.22055863955667743</v>
      </c>
      <c r="E11" s="93">
        <f t="shared" si="0"/>
        <v>0.17906368821292773</v>
      </c>
      <c r="F11" s="94">
        <f t="shared" si="0"/>
        <v>0.10562441913847742</v>
      </c>
      <c r="G11" s="93">
        <f t="shared" si="0"/>
        <v>6.390520559043944E-2</v>
      </c>
      <c r="H11" s="93">
        <f t="shared" si="0"/>
        <v>8.5007139457401237E-2</v>
      </c>
      <c r="I11" s="93">
        <f t="shared" si="0"/>
        <v>9.9578873486576569E-2</v>
      </c>
      <c r="J11" s="93">
        <f t="shared" si="0"/>
        <v>9.5986595388175111E-2</v>
      </c>
      <c r="K11" s="95">
        <f>SUM(F11:J11)/5</f>
        <v>9.002044661221395E-2</v>
      </c>
      <c r="L11" s="87"/>
      <c r="M11" s="87"/>
      <c r="N11" s="66" t="s">
        <v>237</v>
      </c>
      <c r="O11" s="96">
        <f>O9/O10</f>
        <v>0.21859179787283453</v>
      </c>
      <c r="P11" s="49"/>
    </row>
    <row r="12" spans="1:16" ht="22" customHeight="1" x14ac:dyDescent="0.2">
      <c r="A12" s="88" t="s">
        <v>142</v>
      </c>
      <c r="B12" s="89">
        <v>1176810000</v>
      </c>
      <c r="C12" s="89">
        <v>2711647000</v>
      </c>
      <c r="D12" s="89">
        <v>2342100000</v>
      </c>
      <c r="E12" s="89">
        <v>3322000000</v>
      </c>
      <c r="F12" s="90">
        <v>3896000000</v>
      </c>
      <c r="G12" s="89">
        <v>4198000000</v>
      </c>
      <c r="H12" s="89">
        <v>4500000000</v>
      </c>
      <c r="I12" s="89">
        <v>5020000000</v>
      </c>
      <c r="J12" s="89">
        <v>5560000000</v>
      </c>
      <c r="K12" s="91" t="s">
        <v>238</v>
      </c>
      <c r="L12" s="87"/>
      <c r="M12" s="87"/>
      <c r="N12" s="97" t="s">
        <v>239</v>
      </c>
      <c r="O12" s="98">
        <f>O8*(1-O11)</f>
        <v>4.8761663473021397E-2</v>
      </c>
      <c r="P12" s="49"/>
    </row>
    <row r="13" spans="1:16" ht="22" customHeight="1" x14ac:dyDescent="0.2">
      <c r="A13" s="92"/>
      <c r="B13" s="93"/>
      <c r="C13" s="93">
        <f t="shared" ref="C13:J13" si="1">(C12/B12)-1</f>
        <v>1.3042351781511035</v>
      </c>
      <c r="D13" s="93">
        <f t="shared" si="1"/>
        <v>-0.13628138175802385</v>
      </c>
      <c r="E13" s="93">
        <f t="shared" si="1"/>
        <v>0.41838520985440408</v>
      </c>
      <c r="F13" s="94">
        <f t="shared" si="1"/>
        <v>0.17278747742323897</v>
      </c>
      <c r="G13" s="93">
        <f t="shared" si="1"/>
        <v>7.7515400410677726E-2</v>
      </c>
      <c r="H13" s="93">
        <f t="shared" si="1"/>
        <v>7.1939018580276404E-2</v>
      </c>
      <c r="I13" s="93">
        <f t="shared" si="1"/>
        <v>0.11555555555555563</v>
      </c>
      <c r="J13" s="93">
        <f t="shared" si="1"/>
        <v>0.10756972111553775</v>
      </c>
      <c r="K13" s="95">
        <f>SUM(F13:J13)/5</f>
        <v>0.10907343461705729</v>
      </c>
      <c r="L13" s="87"/>
      <c r="M13" s="87"/>
      <c r="N13" s="121" t="s">
        <v>240</v>
      </c>
      <c r="O13" s="122"/>
      <c r="P13" s="49"/>
    </row>
    <row r="14" spans="1:16" ht="22" customHeight="1" x14ac:dyDescent="0.2">
      <c r="A14" s="88" t="s">
        <v>185</v>
      </c>
      <c r="B14" s="89">
        <v>1543233650</v>
      </c>
      <c r="C14" s="89">
        <v>3044298981</v>
      </c>
      <c r="D14" s="89">
        <v>2461253864</v>
      </c>
      <c r="E14" s="89">
        <v>3968212381</v>
      </c>
      <c r="F14" s="90">
        <v>3968000000</v>
      </c>
      <c r="G14" s="89">
        <v>4269000000</v>
      </c>
      <c r="H14" s="89">
        <v>4880000000</v>
      </c>
      <c r="I14" s="89">
        <v>5491000000</v>
      </c>
      <c r="J14" s="89">
        <v>6200000000</v>
      </c>
      <c r="K14" s="91" t="s">
        <v>241</v>
      </c>
      <c r="L14" s="87"/>
      <c r="M14" s="87"/>
      <c r="N14" s="66" t="s">
        <v>242</v>
      </c>
      <c r="O14" s="96">
        <f>'[1]US Treasury Bonds'!$C$8</f>
        <v>4.8399999999999999E-2</v>
      </c>
      <c r="P14" s="49"/>
    </row>
    <row r="15" spans="1:16" ht="22" customHeight="1" x14ac:dyDescent="0.2">
      <c r="A15" s="99"/>
      <c r="B15" s="93"/>
      <c r="C15" s="93">
        <f t="shared" ref="C15:J15" si="2">(C14/B14)-1</f>
        <v>0.97267535022969454</v>
      </c>
      <c r="D15" s="93">
        <f t="shared" si="2"/>
        <v>-0.19152032065144919</v>
      </c>
      <c r="E15" s="93">
        <f t="shared" si="2"/>
        <v>0.61227268712172145</v>
      </c>
      <c r="F15" s="94">
        <f t="shared" si="2"/>
        <v>-5.3520572894982799E-5</v>
      </c>
      <c r="G15" s="93">
        <f t="shared" si="2"/>
        <v>7.5856854838709742E-2</v>
      </c>
      <c r="H15" s="93">
        <f t="shared" si="2"/>
        <v>0.14312485359568994</v>
      </c>
      <c r="I15" s="93">
        <f t="shared" si="2"/>
        <v>0.12520491803278699</v>
      </c>
      <c r="J15" s="93">
        <f t="shared" si="2"/>
        <v>0.12912037880167548</v>
      </c>
      <c r="K15" s="95">
        <f>SUM(F15:J15)/5</f>
        <v>9.4650696939193438E-2</v>
      </c>
      <c r="L15" s="87"/>
      <c r="M15" s="87"/>
      <c r="N15" s="66" t="s">
        <v>243</v>
      </c>
      <c r="O15" s="100" cm="1">
        <f t="array" ref="O15">_FV(A1,"Beta")</f>
        <v>0.45019999999999999</v>
      </c>
      <c r="P15" s="49"/>
    </row>
    <row r="16" spans="1:16" ht="22" customHeight="1" x14ac:dyDescent="0.2">
      <c r="A16" s="88" t="s">
        <v>196</v>
      </c>
      <c r="B16" s="101">
        <v>0.13469761574490491</v>
      </c>
      <c r="C16" s="101">
        <v>0.23113586750763232</v>
      </c>
      <c r="D16" s="101">
        <v>0.19472420494039389</v>
      </c>
      <c r="E16" s="101">
        <v>0.22620684413798822</v>
      </c>
      <c r="F16" s="102"/>
      <c r="G16" s="103"/>
      <c r="H16" s="103"/>
      <c r="I16" s="103"/>
      <c r="J16" s="103"/>
      <c r="K16" s="104"/>
      <c r="L16" s="87"/>
      <c r="M16" s="87"/>
      <c r="N16" s="66" t="s">
        <v>244</v>
      </c>
      <c r="O16" s="96">
        <v>8.4000000000000005E-2</v>
      </c>
      <c r="P16" s="49"/>
    </row>
    <row r="17" spans="1:16" ht="22" customHeight="1" x14ac:dyDescent="0.2">
      <c r="A17" s="87"/>
      <c r="B17" s="105"/>
      <c r="C17" s="105"/>
      <c r="D17" s="105"/>
      <c r="E17" s="105"/>
      <c r="F17" s="87"/>
      <c r="G17" s="87"/>
      <c r="H17" s="87"/>
      <c r="I17" s="87"/>
      <c r="J17" s="87"/>
      <c r="K17" s="87"/>
      <c r="L17" s="87"/>
      <c r="M17" s="87"/>
      <c r="N17" s="106" t="s">
        <v>240</v>
      </c>
      <c r="O17" s="107">
        <f>(O14)+((O15)*(O16-O14))</f>
        <v>6.4427120000000004E-2</v>
      </c>
      <c r="P17" s="49"/>
    </row>
    <row r="18" spans="1:16" ht="22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121" t="s">
        <v>245</v>
      </c>
      <c r="O18" s="122"/>
      <c r="P18" s="49"/>
    </row>
    <row r="19" spans="1:16" ht="22" customHeight="1" x14ac:dyDescent="0.2">
      <c r="A19" s="112" t="str" cm="1">
        <f t="array" ref="A19">_FV(A1,"Industry")</f>
        <v>Biotechnology &amp; Medical Research</v>
      </c>
      <c r="B19" s="112"/>
      <c r="C19" s="123" cm="1">
        <f t="array" ref="C19">_FV(A1,"Year incorporated",TRUE)</f>
        <v>1989</v>
      </c>
      <c r="D19" s="123"/>
      <c r="E19" s="111"/>
      <c r="F19" s="87"/>
      <c r="G19" s="87"/>
      <c r="H19" s="87"/>
      <c r="I19" s="87"/>
      <c r="J19" s="87"/>
      <c r="K19" s="87"/>
      <c r="L19" s="87"/>
      <c r="M19" s="87"/>
      <c r="N19" s="66" t="s">
        <v>223</v>
      </c>
      <c r="O19" s="108">
        <f>O6+O7</f>
        <v>767600000</v>
      </c>
      <c r="P19" s="49"/>
    </row>
    <row r="20" spans="1:16" ht="22" customHeight="1" x14ac:dyDescent="0.2">
      <c r="A20" s="112" t="str" cm="1">
        <f t="array" ref="A20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0" s="112"/>
      <c r="C20" s="112"/>
      <c r="D20" s="112"/>
      <c r="E20" s="112"/>
      <c r="F20" s="87"/>
      <c r="G20" s="87"/>
      <c r="H20" s="87"/>
      <c r="I20" s="87"/>
      <c r="J20" s="87"/>
      <c r="K20" s="87"/>
      <c r="L20" s="87"/>
      <c r="M20" s="87"/>
      <c r="N20" s="66" t="s">
        <v>201</v>
      </c>
      <c r="O20" s="108" cm="1">
        <f t="array" ref="O20">_FV(A1,"Market cap",TRUE)</f>
        <v>93244489344</v>
      </c>
      <c r="P20" s="49"/>
    </row>
    <row r="21" spans="1:16" ht="22" customHeight="1" x14ac:dyDescent="0.2">
      <c r="A21" s="112"/>
      <c r="B21" s="112"/>
      <c r="C21" s="112"/>
      <c r="D21" s="112"/>
      <c r="E21" s="112"/>
      <c r="F21" s="87"/>
      <c r="G21" s="87"/>
      <c r="H21" s="87"/>
      <c r="I21" s="87"/>
      <c r="J21" s="87"/>
      <c r="K21" s="87"/>
      <c r="M21" s="87"/>
      <c r="N21" s="66" t="s">
        <v>246</v>
      </c>
      <c r="O21" s="108">
        <f>O19+O20</f>
        <v>94012089344</v>
      </c>
      <c r="P21" s="49"/>
    </row>
    <row r="22" spans="1:16" ht="22" customHeight="1" x14ac:dyDescent="0.2">
      <c r="A22" s="112"/>
      <c r="B22" s="112"/>
      <c r="C22" s="112"/>
      <c r="D22" s="112"/>
      <c r="E22" s="112"/>
      <c r="F22" s="87"/>
      <c r="G22" s="87"/>
      <c r="H22" s="87"/>
      <c r="I22" s="87"/>
      <c r="J22" s="87"/>
      <c r="K22" s="87"/>
      <c r="L22" s="87"/>
      <c r="M22" s="87"/>
      <c r="N22" s="80" t="s">
        <v>247</v>
      </c>
      <c r="O22" s="109">
        <f>(O19/O21)</f>
        <v>8.1649073577257907E-3</v>
      </c>
      <c r="P22" s="49"/>
    </row>
    <row r="23" spans="1:16" ht="22" customHeight="1" x14ac:dyDescent="0.2">
      <c r="A23" s="112"/>
      <c r="B23" s="112"/>
      <c r="C23" s="112"/>
      <c r="D23" s="112"/>
      <c r="E23" s="112"/>
      <c r="F23" s="87"/>
      <c r="G23" s="87"/>
      <c r="H23" s="87"/>
      <c r="I23" s="87"/>
      <c r="J23" s="87"/>
      <c r="K23" s="87"/>
      <c r="L23" s="87"/>
      <c r="M23" s="87"/>
      <c r="N23" s="106" t="s">
        <v>248</v>
      </c>
      <c r="O23" s="110">
        <f>O20/O21</f>
        <v>0.99183509264227421</v>
      </c>
      <c r="P23" s="49"/>
    </row>
    <row r="24" spans="1:16" ht="22" customHeight="1" x14ac:dyDescent="0.2">
      <c r="A24" s="112"/>
      <c r="B24" s="112"/>
      <c r="C24" s="112"/>
      <c r="D24" s="112"/>
      <c r="E24" s="112"/>
      <c r="F24" s="87"/>
      <c r="G24" s="87"/>
      <c r="H24" s="87"/>
      <c r="I24" s="87"/>
      <c r="J24" s="87"/>
      <c r="K24" s="87"/>
      <c r="L24" s="87"/>
      <c r="M24" s="87"/>
      <c r="N24" s="113" t="s">
        <v>249</v>
      </c>
      <c r="O24" s="114"/>
      <c r="P24" s="49"/>
    </row>
    <row r="25" spans="1:16" ht="22" customHeight="1" x14ac:dyDescent="0.2">
      <c r="A25" s="112"/>
      <c r="B25" s="112"/>
      <c r="C25" s="112"/>
      <c r="D25" s="112"/>
      <c r="E25" s="112"/>
      <c r="F25" s="87"/>
      <c r="G25" s="87"/>
      <c r="H25" s="87"/>
      <c r="I25" s="87"/>
      <c r="J25" s="87"/>
      <c r="K25" s="87"/>
      <c r="L25" s="87"/>
      <c r="M25" s="87"/>
      <c r="N25" s="115">
        <f>(O22*O12)+(O23*O17)</f>
        <v>6.4299212998740737E-2</v>
      </c>
      <c r="O25" s="116"/>
      <c r="P25" s="49"/>
    </row>
    <row r="26" spans="1:16" ht="22" customHeight="1" x14ac:dyDescent="0.2">
      <c r="A26" s="112"/>
      <c r="B26" s="112"/>
      <c r="C26" s="112"/>
      <c r="D26" s="112"/>
      <c r="E26" s="112"/>
      <c r="F26" s="87"/>
      <c r="G26" s="87"/>
      <c r="H26" s="87"/>
      <c r="I26" s="87"/>
      <c r="J26" s="87"/>
      <c r="K26" s="87"/>
      <c r="L26" s="87"/>
      <c r="M26" s="87"/>
      <c r="N26" s="87"/>
      <c r="O26" s="49"/>
      <c r="P26" s="49"/>
    </row>
    <row r="27" spans="1:16" ht="22" customHeight="1" x14ac:dyDescent="0.2">
      <c r="A27" s="112"/>
      <c r="B27" s="112"/>
      <c r="C27" s="112"/>
      <c r="D27" s="112"/>
      <c r="E27" s="112"/>
      <c r="F27" s="87"/>
      <c r="G27" s="87"/>
      <c r="H27" s="87"/>
      <c r="I27" s="87"/>
      <c r="J27" s="87"/>
      <c r="K27" s="87"/>
      <c r="L27" s="87"/>
      <c r="M27" s="87"/>
      <c r="N27" s="87"/>
      <c r="O27" s="49"/>
      <c r="P27" s="49"/>
    </row>
    <row r="28" spans="1:16" ht="22" customHeight="1" x14ac:dyDescent="0.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49"/>
      <c r="P28" s="49"/>
    </row>
    <row r="29" spans="1:16" ht="22" customHeight="1" x14ac:dyDescent="0.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49"/>
      <c r="P29" s="49"/>
    </row>
    <row r="30" spans="1:16" ht="22" customHeight="1" x14ac:dyDescent="0.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49"/>
      <c r="P30" s="49"/>
    </row>
    <row r="31" spans="1:16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</row>
    <row r="34" spans="1:16" x14ac:dyDescent="0.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</row>
    <row r="35" spans="1:16" x14ac:dyDescent="0.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</row>
    <row r="36" spans="1:16" x14ac:dyDescent="0.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</row>
    <row r="37" spans="1:16" x14ac:dyDescent="0.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</row>
    <row r="38" spans="1:16" x14ac:dyDescent="0.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</row>
    <row r="39" spans="1:16" x14ac:dyDescent="0.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</row>
    <row r="40" spans="1:16" x14ac:dyDescent="0.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</row>
    <row r="41" spans="1:16" x14ac:dyDescent="0.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</row>
    <row r="42" spans="1:16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</row>
    <row r="43" spans="1:16" x14ac:dyDescent="0.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</row>
    <row r="44" spans="1:16" x14ac:dyDescent="0.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</row>
    <row r="45" spans="1:16" x14ac:dyDescent="0.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</row>
    <row r="46" spans="1:16" x14ac:dyDescent="0.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</row>
    <row r="47" spans="1:16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</row>
    <row r="48" spans="1:16" x14ac:dyDescent="0.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</row>
    <row r="49" spans="1:16" x14ac:dyDescent="0.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</row>
    <row r="50" spans="1:16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</row>
    <row r="51" spans="1:16" x14ac:dyDescent="0.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</row>
    <row r="52" spans="1:16" x14ac:dyDescent="0.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</row>
    <row r="53" spans="1:16" x14ac:dyDescent="0.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</row>
    <row r="54" spans="1:16" x14ac:dyDescent="0.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</row>
    <row r="55" spans="1:16" x14ac:dyDescent="0.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</row>
    <row r="56" spans="1:16" x14ac:dyDescent="0.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</row>
    <row r="57" spans="1:16" x14ac:dyDescent="0.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</row>
    <row r="58" spans="1:16" x14ac:dyDescent="0.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</row>
    <row r="59" spans="1:16" x14ac:dyDescent="0.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</row>
    <row r="60" spans="1:16" x14ac:dyDescent="0.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</row>
    <row r="61" spans="1:16" x14ac:dyDescent="0.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</row>
    <row r="62" spans="1:16" x14ac:dyDescent="0.2">
      <c r="O62" s="49"/>
      <c r="P62" s="49"/>
    </row>
    <row r="63" spans="1:16" x14ac:dyDescent="0.2">
      <c r="O63" s="49"/>
      <c r="P63" s="49"/>
    </row>
    <row r="64" spans="1:16" x14ac:dyDescent="0.2">
      <c r="O64" s="49"/>
      <c r="P64" s="49"/>
    </row>
    <row r="65" spans="15:16" x14ac:dyDescent="0.2">
      <c r="O65" s="49"/>
      <c r="P65" s="49"/>
    </row>
    <row r="66" spans="15:16" x14ac:dyDescent="0.2">
      <c r="O66" s="49"/>
      <c r="P66" s="49"/>
    </row>
    <row r="67" spans="15:16" x14ac:dyDescent="0.2">
      <c r="O67" s="49"/>
      <c r="P67" s="49"/>
    </row>
    <row r="68" spans="15:16" x14ac:dyDescent="0.2">
      <c r="O68" s="49"/>
      <c r="P68" s="49"/>
    </row>
    <row r="69" spans="15:16" x14ac:dyDescent="0.2">
      <c r="O69" s="49"/>
      <c r="P69" s="49"/>
    </row>
    <row r="70" spans="15:16" x14ac:dyDescent="0.2">
      <c r="O70" s="49"/>
      <c r="P70" s="49"/>
    </row>
    <row r="71" spans="15:16" x14ac:dyDescent="0.2">
      <c r="O71" s="49"/>
      <c r="P71" s="49"/>
    </row>
    <row r="72" spans="15:16" x14ac:dyDescent="0.2">
      <c r="O72" s="49"/>
      <c r="P72" s="49"/>
    </row>
    <row r="73" spans="15:16" x14ac:dyDescent="0.2">
      <c r="O73" s="49"/>
      <c r="P73" s="49"/>
    </row>
    <row r="74" spans="15:16" x14ac:dyDescent="0.2">
      <c r="O74" s="49"/>
      <c r="P74" s="49"/>
    </row>
    <row r="75" spans="15:16" x14ac:dyDescent="0.2">
      <c r="O75" s="49"/>
      <c r="P75" s="49"/>
    </row>
    <row r="76" spans="15:16" x14ac:dyDescent="0.2">
      <c r="O76" s="49"/>
      <c r="P76" s="49"/>
    </row>
    <row r="77" spans="15:16" x14ac:dyDescent="0.2">
      <c r="O77" s="49"/>
      <c r="P77" s="49"/>
    </row>
    <row r="78" spans="15:16" x14ac:dyDescent="0.2">
      <c r="O78" s="49"/>
      <c r="P78" s="49"/>
    </row>
    <row r="79" spans="15:16" x14ac:dyDescent="0.2">
      <c r="O79" s="49"/>
      <c r="P79" s="49"/>
    </row>
    <row r="80" spans="15:16" x14ac:dyDescent="0.2">
      <c r="O80" s="49"/>
      <c r="P80" s="49"/>
    </row>
    <row r="81" spans="15:16" x14ac:dyDescent="0.2">
      <c r="O81" s="49"/>
      <c r="P81" s="49"/>
    </row>
    <row r="82" spans="15:16" x14ac:dyDescent="0.2">
      <c r="O82" s="49"/>
      <c r="P82" s="49"/>
    </row>
    <row r="83" spans="15:16" x14ac:dyDescent="0.2">
      <c r="O83" s="49"/>
      <c r="P83" s="49"/>
    </row>
    <row r="84" spans="15:16" x14ac:dyDescent="0.2">
      <c r="O84" s="49"/>
      <c r="P84" s="49"/>
    </row>
    <row r="85" spans="15:16" x14ac:dyDescent="0.2">
      <c r="O85" s="49"/>
      <c r="P85" s="49"/>
    </row>
    <row r="86" spans="15:16" x14ac:dyDescent="0.2">
      <c r="O86" s="49"/>
      <c r="P86" s="49"/>
    </row>
    <row r="87" spans="15:16" x14ac:dyDescent="0.2">
      <c r="O87" s="49"/>
      <c r="P87" s="49"/>
    </row>
    <row r="88" spans="15:16" x14ac:dyDescent="0.2">
      <c r="O88" s="49"/>
      <c r="P88" s="49"/>
    </row>
    <row r="89" spans="15:16" x14ac:dyDescent="0.2">
      <c r="O89" s="49"/>
      <c r="P89" s="49"/>
    </row>
    <row r="90" spans="15:16" x14ac:dyDescent="0.2">
      <c r="O90" s="49"/>
      <c r="P90" s="49"/>
    </row>
    <row r="91" spans="15:16" x14ac:dyDescent="0.2">
      <c r="O91" s="49"/>
      <c r="P91" s="49"/>
    </row>
    <row r="92" spans="15:16" x14ac:dyDescent="0.2">
      <c r="O92" s="49"/>
      <c r="P92" s="49"/>
    </row>
    <row r="93" spans="15:16" x14ac:dyDescent="0.2">
      <c r="O93" s="49"/>
      <c r="P93" s="49"/>
    </row>
    <row r="94" spans="15:16" x14ac:dyDescent="0.2">
      <c r="O94" s="49"/>
      <c r="P94" s="49"/>
    </row>
    <row r="95" spans="15:16" x14ac:dyDescent="0.2">
      <c r="O95" s="49"/>
      <c r="P95" s="49"/>
    </row>
    <row r="96" spans="15:16" x14ac:dyDescent="0.2">
      <c r="O96" s="49"/>
      <c r="P96" s="49"/>
    </row>
    <row r="97" spans="15:16" x14ac:dyDescent="0.2">
      <c r="O97" s="49"/>
      <c r="P97" s="49"/>
    </row>
    <row r="98" spans="15:16" x14ac:dyDescent="0.2">
      <c r="O98" s="49"/>
      <c r="P98" s="49"/>
    </row>
    <row r="99" spans="15:16" x14ac:dyDescent="0.2">
      <c r="O99" s="49"/>
      <c r="P99" s="49"/>
    </row>
    <row r="100" spans="15:16" x14ac:dyDescent="0.2">
      <c r="O100" s="49"/>
      <c r="P100" s="49"/>
    </row>
    <row r="101" spans="15:16" x14ac:dyDescent="0.2">
      <c r="O101" s="49"/>
      <c r="P101" s="49"/>
    </row>
    <row r="102" spans="15:16" x14ac:dyDescent="0.2">
      <c r="O102" s="49"/>
      <c r="P102" s="49"/>
    </row>
    <row r="103" spans="15:16" x14ac:dyDescent="0.2">
      <c r="O103" s="49"/>
      <c r="P103" s="49"/>
    </row>
    <row r="104" spans="15:16" x14ac:dyDescent="0.2">
      <c r="O104" s="49"/>
      <c r="P104" s="49"/>
    </row>
    <row r="105" spans="15:16" x14ac:dyDescent="0.2">
      <c r="O105" s="49"/>
      <c r="P105" s="49"/>
    </row>
    <row r="106" spans="15:16" x14ac:dyDescent="0.2">
      <c r="O106" s="49"/>
      <c r="P106" s="49"/>
    </row>
    <row r="107" spans="15:16" x14ac:dyDescent="0.2">
      <c r="O107" s="49"/>
      <c r="P107" s="49"/>
    </row>
    <row r="108" spans="15:16" x14ac:dyDescent="0.2">
      <c r="O108" s="49"/>
      <c r="P108" s="49"/>
    </row>
    <row r="109" spans="15:16" x14ac:dyDescent="0.2">
      <c r="O109" s="49"/>
      <c r="P109" s="49"/>
    </row>
    <row r="110" spans="15:16" x14ac:dyDescent="0.2">
      <c r="O110" s="49"/>
      <c r="P110" s="49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2023-10-27T00:35:39Z</dcterms:modified>
</cp:coreProperties>
</file>