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0050D5C3-EF58-0748-9622-21A94B3615B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L105" i="1"/>
  <c r="AK105" i="1"/>
  <c r="AJ105" i="1"/>
  <c r="AI105" i="1"/>
  <c r="AH105" i="1"/>
  <c r="AO95" i="1"/>
  <c r="AP7" i="1"/>
  <c r="AO7" i="1"/>
  <c r="AN7" i="1"/>
  <c r="AF106" i="1"/>
  <c r="AG106" i="1"/>
  <c r="AH34" i="1" a="1"/>
  <c r="AH34" i="1" s="1"/>
  <c r="AH35" i="1" s="1"/>
  <c r="AH33" i="1" a="1"/>
  <c r="AH33" i="1" s="1"/>
  <c r="AN22" i="1"/>
  <c r="AI106" i="1"/>
  <c r="AL106" i="1"/>
  <c r="AK106" i="1"/>
  <c r="AJ106" i="1"/>
  <c r="AG30" i="1" l="1"/>
  <c r="AH109" i="1"/>
  <c r="AI109" i="1"/>
  <c r="AJ109" i="1"/>
  <c r="AK109" i="1"/>
  <c r="AI117" i="1" a="1"/>
  <c r="AI117" i="1" s="1"/>
  <c r="AG21" i="1" l="1"/>
  <c r="F105" i="1"/>
  <c r="G105" i="1"/>
  <c r="H105" i="1"/>
  <c r="O105" i="1"/>
  <c r="P105" i="1"/>
  <c r="W105" i="1"/>
  <c r="X105" i="1"/>
  <c r="AE105" i="1"/>
  <c r="AF105" i="1"/>
  <c r="AO102" i="1" a="1"/>
  <c r="AO102" i="1" s="1"/>
  <c r="AP22" i="1" s="1"/>
  <c r="AO96" i="1" a="1"/>
  <c r="AO96" i="1" s="1"/>
  <c r="AO19" i="1"/>
  <c r="AI112" i="1"/>
  <c r="AO92" i="1"/>
  <c r="I105" i="1" s="1"/>
  <c r="AO91" i="1"/>
  <c r="AO90" i="1"/>
  <c r="AO88" i="1"/>
  <c r="AO87" i="1"/>
  <c r="AO100" i="1" s="1"/>
  <c r="AO86" i="1"/>
  <c r="AL30" i="1"/>
  <c r="AK30" i="1"/>
  <c r="AJ30" i="1"/>
  <c r="AI30" i="1"/>
  <c r="AH30" i="1"/>
  <c r="AL29" i="1"/>
  <c r="AK29" i="1"/>
  <c r="AJ29" i="1"/>
  <c r="AI29" i="1"/>
  <c r="AH29" i="1"/>
  <c r="AL21" i="1"/>
  <c r="AK21" i="1"/>
  <c r="AJ21" i="1"/>
  <c r="AI21" i="1"/>
  <c r="AH21" i="1"/>
  <c r="AL20" i="1"/>
  <c r="AK20" i="1"/>
  <c r="AJ20" i="1"/>
  <c r="AI20" i="1"/>
  <c r="AH20" i="1"/>
  <c r="AM19" i="1"/>
  <c r="AM16" i="1"/>
  <c r="AI115" i="1" s="1"/>
  <c r="AP13" i="1"/>
  <c r="AO13" i="1"/>
  <c r="AN13" i="1"/>
  <c r="AM13" i="1"/>
  <c r="AP10" i="1"/>
  <c r="AO10" i="1"/>
  <c r="AN10" i="1"/>
  <c r="AM10" i="1"/>
  <c r="AM7" i="1"/>
  <c r="AP4" i="1"/>
  <c r="AO4" i="1"/>
  <c r="AM4" i="1"/>
  <c r="AL4" i="1"/>
  <c r="AK4" i="1"/>
  <c r="AJ4" i="1"/>
  <c r="AI4" i="1"/>
  <c r="AH4" i="1"/>
  <c r="AO107"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N105" i="1" l="1"/>
  <c r="AC105" i="1"/>
  <c r="U105" i="1"/>
  <c r="M105" i="1"/>
  <c r="E105" i="1"/>
  <c r="AD105" i="1"/>
  <c r="K105" i="1"/>
  <c r="Z105" i="1"/>
  <c r="R105" i="1"/>
  <c r="J105" i="1"/>
  <c r="B105" i="1"/>
  <c r="V105" i="1"/>
  <c r="AB105" i="1"/>
  <c r="T105" i="1"/>
  <c r="L105" i="1"/>
  <c r="D105" i="1"/>
  <c r="AA105" i="1"/>
  <c r="S105" i="1"/>
  <c r="C105" i="1"/>
  <c r="AG105" i="1"/>
  <c r="AM106" i="1" s="1"/>
  <c r="Y105" i="1"/>
  <c r="Q105" i="1"/>
  <c r="AN19" i="1"/>
  <c r="AP16" i="1"/>
  <c r="AO22" i="1"/>
  <c r="AO16" i="1"/>
  <c r="AN16" i="1"/>
  <c r="AP19" i="1"/>
  <c r="AO104" i="1"/>
  <c r="AO103" i="1" s="1"/>
  <c r="AI113" i="1"/>
  <c r="AO89" i="1"/>
  <c r="AO9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<sst xmlns="http://schemas.openxmlformats.org/spreadsheetml/2006/main" count="1013" uniqueCount="168">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</sst>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70" fontId="1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9" fontId="1" fillId="5" borderId="0" xfId="0" applyNumberFormat="1" applyFont="1" applyFill="1" applyAlignment="1">
      <alignment horizontal="center" vertical="center"/>
    </xf>
    <xf numFmtId="0" fontId="14"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15" fillId="6" borderId="0" xfId="0" applyFont="1" applyFill="1" applyAlignment="1">
      <alignment horizontal="center" vertical="center"/>
    </xf>
    <xf numFmtId="0" fontId="16" fillId="6" borderId="0" xfId="0" applyFont="1" applyFill="1" applyAlignment="1">
      <alignment horizontal="center" vertical="center"/>
    </xf>
    <xf numFmtId="165" fontId="11" fillId="4" borderId="0" xfId="0" applyNumberFormat="1"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5780726877299187"/>
          <c:w val="0.84543471074380172"/>
          <c:h val="0.6019038294881832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pt idx="32">
                  <c:v>6044000000</c:v>
                </c:pt>
                <c:pt idx="33">
                  <c:v>6401000000</c:v>
                </c:pt>
                <c:pt idx="34">
                  <c:v>6692000000</c:v>
                </c:pt>
                <c:pt idx="35">
                  <c:v>7175000000</c:v>
                </c:pt>
                <c:pt idx="36">
                  <c:v>8000000000</c:v>
                </c:pt>
              </c:numCache>
            </c:numRef>
          </c:val>
          <c:extLst>
            <c:ext xmlns:c16="http://schemas.microsoft.com/office/drawing/2014/chart" uri="{C3380CC4-5D6E-409C-BE32-E72D297353CC}">
              <c16:uniqueId val="{00000000-117C-684F-9477-E526646600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pt idx="32">
                  <c:v>1743000000</c:v>
                </c:pt>
                <c:pt idx="33">
                  <c:v>1886000000</c:v>
                </c:pt>
                <c:pt idx="34">
                  <c:v>2466000000</c:v>
                </c:pt>
                <c:pt idx="35">
                  <c:v>2862000000</c:v>
                </c:pt>
                <c:pt idx="36">
                  <c:v>3308000000</c:v>
                </c:pt>
              </c:numCache>
            </c:numRef>
          </c:val>
          <c:extLst>
            <c:ext xmlns:c16="http://schemas.microsoft.com/office/drawing/2014/chart" uri="{C3380CC4-5D6E-409C-BE32-E72D297353CC}">
              <c16:uniqueId val="{00000001-117C-684F-9477-E5266466009F}"/>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pt idx="32">
                  <c:v>2140000000</c:v>
                </c:pt>
                <c:pt idx="33">
                  <c:v>2216000000</c:v>
                </c:pt>
                <c:pt idx="34">
                  <c:v>2410000000</c:v>
                </c:pt>
                <c:pt idx="35">
                  <c:v>3135000000</c:v>
                </c:pt>
                <c:pt idx="36">
                  <c:v>3601000000</c:v>
                </c:pt>
              </c:numCache>
            </c:numRef>
          </c:val>
          <c:extLst>
            <c:ext xmlns:c16="http://schemas.microsoft.com/office/drawing/2014/chart" uri="{C3380CC4-5D6E-409C-BE32-E72D297353CC}">
              <c16:uniqueId val="{00000002-117C-684F-9477-E5266466009F}"/>
            </c:ext>
          </c:extLst>
        </c:ser>
        <c:dLbls>
          <c:showLegendKey val="0"/>
          <c:showVal val="0"/>
          <c:showCatName val="0"/>
          <c:showSerName val="0"/>
          <c:showPercent val="0"/>
          <c:showBubbleSize val="0"/>
        </c:dLbls>
        <c:gapWidth val="150"/>
        <c:overlap val="100"/>
        <c:axId val="332816223"/>
        <c:axId val="332814687"/>
      </c:barChart>
      <c:catAx>
        <c:axId val="3328162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32814687"/>
        <c:crosses val="autoZero"/>
        <c:auto val="1"/>
        <c:lblAlgn val="ctr"/>
        <c:lblOffset val="100"/>
        <c:noMultiLvlLbl val="0"/>
      </c:catAx>
      <c:valAx>
        <c:axId val="3328146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2816223"/>
        <c:crosses val="autoZero"/>
        <c:crossBetween val="between"/>
      </c:valAx>
      <c:spPr>
        <a:noFill/>
        <a:ln>
          <a:noFill/>
        </a:ln>
        <a:effectLst/>
      </c:spPr>
    </c:plotArea>
    <c:legend>
      <c:legendPos val="b"/>
      <c:layout>
        <c:manualLayout>
          <c:xMode val="edge"/>
          <c:yMode val="edge"/>
          <c:x val="0.33433752847009829"/>
          <c:y val="0.89596315955839467"/>
          <c:w val="0.33661419925815056"/>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31749</xdr:colOff>
      <xdr:row>109</xdr:row>
      <xdr:rowOff>17463</xdr:rowOff>
    </xdr:from>
    <xdr:to>
      <xdr:col>41</xdr:col>
      <xdr:colOff>15874</xdr:colOff>
      <xdr:row>126</xdr:row>
      <xdr:rowOff>15875</xdr:rowOff>
    </xdr:to>
    <xdr:graphicFrame macro="">
      <xdr:nvGraphicFramePr>
        <xdr:cNvPr id="3" name="Chart 2">
          <a:extLst>
            <a:ext uri="{FF2B5EF4-FFF2-40B4-BE49-F238E27FC236}">
              <a16:creationId xmlns:a16="http://schemas.microsoft.com/office/drawing/2014/main" id="{30734981-D244-E0F6-7C74-DD624D868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508.9</v>
    <v>388.66</v>
    <v>1.0170999999999999</v>
    <v>-4.8099999999999996</v>
    <v>-1.0013000000000001E-2</v>
    <v>0.56000000000000005</v>
    <v>1.178E-3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482.25</v>
    <v>Software &amp; IT Services</v>
    <v>Stock</v>
    <v>45226.997232510941</v>
    <v>0</v>
    <v>474.46</v>
    <v>50748500000</v>
    <v>ROPER TECHNOLOGIES, INC.</v>
    <v>ROPER TECHNOLOGIES, INC.</v>
    <v>478.71</v>
    <v>41.190199999999997</v>
    <v>480.38</v>
    <v>475.57</v>
    <v>476.13</v>
    <v>106710900</v>
    <v>ROP</v>
    <v>ROPER TECHNOLOGIES, INC. (XNAS:ROP)</v>
    <v>450141</v>
    <v>413686</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89" activePane="bottomRight" state="frozen"/>
      <selection pane="topRight"/>
      <selection pane="bottomLeft"/>
      <selection pane="bottomRight" activeCell="AI95" sqref="AI95"/>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26">
        <v>2023</v>
      </c>
      <c r="AI1" s="26">
        <v>2024</v>
      </c>
      <c r="AJ1" s="26">
        <v>2025</v>
      </c>
      <c r="AK1" s="26">
        <v>2026</v>
      </c>
      <c r="AL1" s="26">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27">
        <v>6044000000</v>
      </c>
      <c r="AI3" s="27">
        <v>6401000000</v>
      </c>
      <c r="AJ3" s="27">
        <v>6692000000</v>
      </c>
      <c r="AK3" s="27">
        <v>7175000000</v>
      </c>
      <c r="AL3" s="27">
        <v>8000000000</v>
      </c>
      <c r="AM3" s="18" t="s">
        <v>112</v>
      </c>
      <c r="AN3" s="19" t="s">
        <v>113</v>
      </c>
      <c r="AO3" s="19" t="s">
        <v>114</v>
      </c>
      <c r="AP3" s="19" t="s">
        <v>115</v>
      </c>
    </row>
    <row r="4" spans="1:42" ht="19" x14ac:dyDescent="0.25">
      <c r="A4" s="14" t="s">
        <v>94</v>
      </c>
      <c r="B4" s="1"/>
      <c r="C4" s="42">
        <f>(C3/B3)-1</f>
        <v>-7.1999999999999953E-2</v>
      </c>
      <c r="D4" s="42">
        <f>(D3/C3)-1</f>
        <v>0.90373563218390807</v>
      </c>
      <c r="E4" s="42">
        <f>(E3/D3)-1</f>
        <v>0.1147169811320754</v>
      </c>
      <c r="F4" s="42">
        <f t="shared" ref="F4:AL4" si="0">(F3/E3)-1</f>
        <v>0.1875423155044007</v>
      </c>
      <c r="G4" s="42">
        <f t="shared" si="0"/>
        <v>0.28677309007981755</v>
      </c>
      <c r="H4" s="42">
        <f t="shared" si="0"/>
        <v>0.32122286220646878</v>
      </c>
      <c r="I4" s="42">
        <f t="shared" si="0"/>
        <v>0.30516431924882625</v>
      </c>
      <c r="J4" s="42">
        <f t="shared" si="0"/>
        <v>4.6505652620760562E-2</v>
      </c>
      <c r="K4" s="42">
        <f t="shared" si="0"/>
        <v>0.23695801620427193</v>
      </c>
      <c r="L4" s="42">
        <f t="shared" si="0"/>
        <v>0.16413431173868087</v>
      </c>
      <c r="M4" s="42">
        <f t="shared" si="0"/>
        <v>6.9093922312815303E-2</v>
      </c>
      <c r="N4" s="42">
        <f t="shared" si="0"/>
        <v>4.8364512064813514E-2</v>
      </c>
      <c r="O4" s="42">
        <f t="shared" si="0"/>
        <v>0.47524933217312992</v>
      </c>
      <c r="P4" s="42">
        <f t="shared" si="0"/>
        <v>0.49905647147140964</v>
      </c>
      <c r="Q4" s="42">
        <f t="shared" si="0"/>
        <v>0.16990970131337924</v>
      </c>
      <c r="R4" s="42">
        <f t="shared" si="0"/>
        <v>0.23596576536954039</v>
      </c>
      <c r="S4" s="42">
        <f t="shared" si="0"/>
        <v>9.720134973066763E-2</v>
      </c>
      <c r="T4" s="42">
        <f t="shared" si="0"/>
        <v>-0.11130169430677028</v>
      </c>
      <c r="U4" s="42">
        <f t="shared" si="0"/>
        <v>0.16414560797163258</v>
      </c>
      <c r="V4" s="42">
        <f t="shared" si="0"/>
        <v>0.17223709532494702</v>
      </c>
      <c r="W4" s="42">
        <f t="shared" si="0"/>
        <v>7.0215856556584466E-2</v>
      </c>
      <c r="X4" s="42">
        <f t="shared" si="0"/>
        <v>8.1723701005749438E-2</v>
      </c>
      <c r="Y4" s="42">
        <f t="shared" si="0"/>
        <v>9.6156174184590659E-2</v>
      </c>
      <c r="Z4" s="42">
        <f t="shared" si="0"/>
        <v>9.2692085125372081E-3</v>
      </c>
      <c r="AA4" s="42">
        <f t="shared" si="0"/>
        <v>5.7930518549741183E-2</v>
      </c>
      <c r="AB4" s="42">
        <f t="shared" si="0"/>
        <v>0.21571561442508758</v>
      </c>
      <c r="AC4" s="42">
        <f t="shared" si="0"/>
        <v>0.12669184461497429</v>
      </c>
      <c r="AD4" s="42">
        <f t="shared" si="0"/>
        <v>3.3826475574048498E-2</v>
      </c>
      <c r="AE4" s="42">
        <f t="shared" si="0"/>
        <v>2.986882313482897E-2</v>
      </c>
      <c r="AF4" s="42">
        <f t="shared" si="0"/>
        <v>4.5358325342403694E-2</v>
      </c>
      <c r="AG4" s="42">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116</v>
      </c>
      <c r="AN6" s="67" t="s">
        <v>117</v>
      </c>
      <c r="AO6" s="67" t="s">
        <v>118</v>
      </c>
      <c r="AP6" s="67" t="s">
        <v>119</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AH21</f>
        <v>0.40238252812706815</v>
      </c>
      <c r="AO7" s="20">
        <f>AH30</f>
        <v>0.2883851753805427</v>
      </c>
      <c r="AP7" s="20">
        <f>AH107/AH3</f>
        <v>0.35407015221707477</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120</v>
      </c>
      <c r="AN12" s="19" t="s">
        <v>121</v>
      </c>
      <c r="AO12" s="19" t="s">
        <v>122</v>
      </c>
      <c r="AP12" s="19" t="s">
        <v>123</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124</v>
      </c>
      <c r="AN15" s="19" t="s">
        <v>125</v>
      </c>
      <c r="AO15" s="19" t="s">
        <v>126</v>
      </c>
      <c r="AP15" s="19" t="s">
        <v>127</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28">
        <f>(AG35+AF35+AE35+AD35+AC35)/5</f>
        <v>6.2603860582215298E-3</v>
      </c>
      <c r="AN16" s="31">
        <f>AO102/AG3</f>
        <v>9.4472057783238395</v>
      </c>
      <c r="AO16" s="31">
        <f>AO102/AG28</f>
        <v>32.853304848837965</v>
      </c>
      <c r="AP16" s="33">
        <f>AO102/AG107</f>
        <v>76.393948517236183</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128</v>
      </c>
      <c r="AN18" s="19" t="s">
        <v>129</v>
      </c>
      <c r="AO18" s="19" t="s">
        <v>130</v>
      </c>
      <c r="AP18" s="19" t="s">
        <v>131</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29">
        <v>2432000000</v>
      </c>
      <c r="AI19" s="29">
        <v>2581000000</v>
      </c>
      <c r="AJ19" s="29">
        <v>2768000000</v>
      </c>
      <c r="AK19" s="29">
        <v>3369000000</v>
      </c>
      <c r="AL19" s="29">
        <v>3880000000</v>
      </c>
      <c r="AM19" s="30">
        <f>AG40-AG56-AG61</f>
        <v>-5868900000</v>
      </c>
      <c r="AN19" s="31">
        <f>AO102/AH3</f>
        <v>8.396508934480476</v>
      </c>
      <c r="AO19" s="32">
        <f>AI117/AH31</f>
        <v>29.086850152905196</v>
      </c>
      <c r="AP19" s="33">
        <f>AO102/AH107</f>
        <v>23.714252336448599</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34">
        <f>AH19/AH3</f>
        <v>0.40238252812706815</v>
      </c>
      <c r="AI21" s="34">
        <f t="shared" ref="AI21:AL21" si="4">AI19/AI3</f>
        <v>0.40321824714888299</v>
      </c>
      <c r="AJ21" s="34">
        <f t="shared" si="4"/>
        <v>0.41362821279139272</v>
      </c>
      <c r="AK21" s="34">
        <f t="shared" si="4"/>
        <v>0.46954703832752615</v>
      </c>
      <c r="AL21" s="34">
        <f t="shared" si="4"/>
        <v>0.48499999999999999</v>
      </c>
      <c r="AN21" s="43" t="s">
        <v>167</v>
      </c>
      <c r="AO21" s="18" t="s">
        <v>132</v>
      </c>
      <c r="AP21" s="19" t="s">
        <v>166</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N22" s="17">
        <f>SUM(AH29:AL29)/5</f>
        <v>0.16687301627859014</v>
      </c>
      <c r="AO22" s="35">
        <f>(-1*AG98)/AO102</f>
        <v>5.1686256736652317E-3</v>
      </c>
      <c r="AP22" s="36">
        <f>AH107/AO102</f>
        <v>4.2168734051252744E-2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37">
        <v>1743000000</v>
      </c>
      <c r="AI28" s="37">
        <v>1886000000</v>
      </c>
      <c r="AJ28" s="37">
        <v>2466000000</v>
      </c>
      <c r="AK28" s="37">
        <v>2862000000</v>
      </c>
      <c r="AL28" s="37">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38">
        <f>AH28/AH3</f>
        <v>0.2883851753805427</v>
      </c>
      <c r="AI30" s="38">
        <f t="shared" ref="AI30:AL30" si="6">AI28/AI3</f>
        <v>0.29464146227152005</v>
      </c>
      <c r="AJ30" s="38">
        <f t="shared" si="6"/>
        <v>0.36849970113568442</v>
      </c>
      <c r="AK30" s="38">
        <f t="shared" si="6"/>
        <v>0.39888501742160276</v>
      </c>
      <c r="AL30" s="38">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39">
        <v>16.350000000000001</v>
      </c>
      <c r="AI31" s="39">
        <v>17.690000000000001</v>
      </c>
      <c r="AJ31" s="39">
        <v>23.13</v>
      </c>
      <c r="AK31" s="39">
        <v>26.85</v>
      </c>
      <c r="AL31" s="39">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4"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c r="AH33" s="1" cm="1">
        <f t="array" ref="AH33">_FV(A1,"Shares outstanding",TRUE)</f>
        <v>106710900</v>
      </c>
    </row>
    <row r="34" spans="1:34"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c r="AH34" s="1" cm="1">
        <f t="array" ref="AH34">_FV(A1,"Shares outstanding",TRUE)</f>
        <v>106710900</v>
      </c>
    </row>
    <row r="35" spans="1:34" ht="20" customHeight="1" x14ac:dyDescent="0.25">
      <c r="A35" s="14" t="s">
        <v>103</v>
      </c>
      <c r="B35" s="1"/>
      <c r="C35" s="22">
        <f>(C34-B34)/B34</f>
        <v>0.47801418439716314</v>
      </c>
      <c r="D35" s="22">
        <f t="shared" ref="D35:AH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c r="AH35" s="22">
        <f t="shared" si="7"/>
        <v>-8.3426966292134835E-4</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4"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4"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4"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4"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4"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4"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4"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4"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4"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19"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row>
    <row r="84" spans="1:41" ht="19" customHeight="1"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H84" s="44"/>
      <c r="AI84" s="44"/>
      <c r="AJ84" s="44"/>
      <c r="AK84" s="44"/>
      <c r="AL84" s="44"/>
      <c r="AM84" s="44"/>
      <c r="AN84" s="72" t="s">
        <v>133</v>
      </c>
      <c r="AO84" s="73"/>
    </row>
    <row r="85" spans="1:41" ht="19" customHeight="1"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H85" s="44"/>
      <c r="AI85" s="44"/>
      <c r="AJ85" s="44"/>
      <c r="AK85" s="44"/>
      <c r="AL85" s="44"/>
      <c r="AM85" s="44"/>
      <c r="AN85" s="76" t="s">
        <v>134</v>
      </c>
      <c r="AO85" s="76"/>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H86" s="44"/>
      <c r="AI86" s="44"/>
      <c r="AJ86" s="44"/>
      <c r="AK86" s="44"/>
      <c r="AL86" s="44"/>
      <c r="AM86" s="44"/>
      <c r="AN86" s="23" t="s">
        <v>135</v>
      </c>
      <c r="AO86" s="45">
        <f>AG17</f>
        <v>192400000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H87" s="44"/>
      <c r="AI87" s="44"/>
      <c r="AJ87" s="44"/>
      <c r="AK87" s="44"/>
      <c r="AL87" s="44"/>
      <c r="AM87" s="44"/>
      <c r="AN87" s="23" t="s">
        <v>136</v>
      </c>
      <c r="AO87" s="45">
        <f>AG56</f>
        <v>699200000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H88" s="44"/>
      <c r="AI88" s="44"/>
      <c r="AJ88" s="44"/>
      <c r="AK88" s="44"/>
      <c r="AL88" s="44"/>
      <c r="AM88" s="44"/>
      <c r="AN88" s="23" t="s">
        <v>137</v>
      </c>
      <c r="AO88" s="45">
        <f>AG61</f>
        <v>5962500000</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H89" s="44"/>
      <c r="AI89" s="44"/>
      <c r="AJ89" s="44"/>
      <c r="AK89" s="44"/>
      <c r="AL89" s="44"/>
      <c r="AM89" s="44"/>
      <c r="AN89" s="40" t="s">
        <v>138</v>
      </c>
      <c r="AO89" s="46">
        <f>AO86/(AO87+AO88)</f>
        <v>2.8881516729963821E-2</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H90" s="44"/>
      <c r="AI90" s="44"/>
      <c r="AJ90" s="44"/>
      <c r="AK90" s="44"/>
      <c r="AL90" s="44"/>
      <c r="AM90" s="44"/>
      <c r="AN90" s="23" t="s">
        <v>108</v>
      </c>
      <c r="AO90" s="45">
        <f>AG27</f>
        <v>296400000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44"/>
      <c r="AI91" s="44"/>
      <c r="AJ91" s="44"/>
      <c r="AK91" s="44"/>
      <c r="AL91" s="44"/>
      <c r="AM91" s="44"/>
      <c r="AN91" s="23" t="s">
        <v>19</v>
      </c>
      <c r="AO91" s="45">
        <f>AG25</f>
        <v>1282000000</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44"/>
      <c r="AI92" s="44"/>
      <c r="AJ92" s="44"/>
      <c r="AK92" s="44"/>
      <c r="AL92" s="44"/>
      <c r="AM92" s="44"/>
      <c r="AN92" s="40" t="s">
        <v>139</v>
      </c>
      <c r="AO92" s="46">
        <f>AO90/AO91</f>
        <v>0.23120124804992201</v>
      </c>
    </row>
    <row r="93" spans="1:41" ht="19" customHeight="1"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H93" s="44"/>
      <c r="AI93" s="44"/>
      <c r="AJ93" s="44"/>
      <c r="AK93" s="44"/>
      <c r="AL93" s="44"/>
      <c r="AM93" s="44"/>
      <c r="AN93" s="40" t="s">
        <v>140</v>
      </c>
      <c r="AO93" s="46">
        <f>AO89*(1-AO92)</f>
        <v>2.2204074016421483E-2</v>
      </c>
    </row>
    <row r="94" spans="1:41" ht="19" customHeight="1"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H94" s="44"/>
      <c r="AI94" s="44"/>
      <c r="AJ94" s="44"/>
      <c r="AK94" s="44"/>
      <c r="AL94" s="44"/>
      <c r="AM94" s="44"/>
      <c r="AN94" s="76" t="s">
        <v>141</v>
      </c>
      <c r="AO94" s="76"/>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H95" s="44"/>
      <c r="AI95" s="44"/>
      <c r="AJ95" s="44"/>
      <c r="AK95" s="44"/>
      <c r="AL95" s="44"/>
      <c r="AM95" s="44"/>
      <c r="AN95" s="23" t="s">
        <v>142</v>
      </c>
      <c r="AO95" s="68">
        <f>'[1]US Treasury Bonds'!$C$8</f>
        <v>4.845E-2</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H96" s="44"/>
      <c r="AI96" s="44"/>
      <c r="AJ96" s="44"/>
      <c r="AK96" s="44"/>
      <c r="AL96" s="44"/>
      <c r="AM96" s="44"/>
      <c r="AN96" s="23" t="s">
        <v>143</v>
      </c>
      <c r="AO96" s="48" cm="1">
        <f t="array" ref="AO96">_FV(A1,"Beta")</f>
        <v>1.0170999999999999</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44"/>
      <c r="AI97" s="44"/>
      <c r="AJ97" s="44"/>
      <c r="AK97" s="44"/>
      <c r="AL97" s="44"/>
      <c r="AM97" s="44"/>
      <c r="AN97" s="23" t="s">
        <v>144</v>
      </c>
      <c r="AO97" s="47">
        <v>8.4000000000000005E-2</v>
      </c>
    </row>
    <row r="98" spans="1:41" ht="19" customHeight="1"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H98" s="44"/>
      <c r="AI98" s="44"/>
      <c r="AJ98" s="44"/>
      <c r="AK98" s="44"/>
      <c r="AL98" s="44"/>
      <c r="AM98" s="44"/>
      <c r="AN98" s="40" t="s">
        <v>145</v>
      </c>
      <c r="AO98" s="46">
        <f>(AO95)+((AO96)*(AO97-AO95))</f>
        <v>8.4607905000000011E-2</v>
      </c>
    </row>
    <row r="99" spans="1:41" ht="18" customHeight="1"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H99" s="44"/>
      <c r="AI99" s="44"/>
      <c r="AJ99" s="44"/>
      <c r="AK99" s="44"/>
      <c r="AL99" s="44"/>
      <c r="AM99" s="44"/>
      <c r="AN99" s="76" t="s">
        <v>146</v>
      </c>
      <c r="AO99" s="76"/>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H100" s="44"/>
      <c r="AI100" s="44"/>
      <c r="AJ100" s="44"/>
      <c r="AK100" s="44"/>
      <c r="AL100" s="44"/>
      <c r="AM100" s="44"/>
      <c r="AN100" s="23" t="s">
        <v>147</v>
      </c>
      <c r="AO100" s="45">
        <f>AO87+AO88</f>
        <v>6661700000</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H101" s="44"/>
      <c r="AI101" s="44"/>
      <c r="AJ101" s="44"/>
      <c r="AK101" s="44"/>
      <c r="AL101" s="44"/>
      <c r="AM101" s="44"/>
      <c r="AN101" s="40" t="s">
        <v>148</v>
      </c>
      <c r="AO101" s="46">
        <f>AO100/AO104</f>
        <v>0.11603687149670268</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H102" s="44"/>
      <c r="AI102" s="44"/>
      <c r="AJ102" s="44"/>
      <c r="AK102" s="44"/>
      <c r="AL102" s="44"/>
      <c r="AM102" s="44"/>
      <c r="AN102" s="23" t="s">
        <v>149</v>
      </c>
      <c r="AO102" s="49" cm="1">
        <f t="array" ref="AO102">_FV(A1,"Market cap",TRUE)</f>
        <v>50748500000</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H103" s="44"/>
      <c r="AI103" s="44"/>
      <c r="AJ103" s="44"/>
      <c r="AK103" s="44"/>
      <c r="AL103" s="44"/>
      <c r="AM103" s="44"/>
      <c r="AN103" s="40" t="s">
        <v>150</v>
      </c>
      <c r="AO103" s="46">
        <f>AO102/AO104</f>
        <v>0.88396312850329728</v>
      </c>
    </row>
    <row r="104" spans="1:41" ht="20" customHeight="1"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H104" s="74" t="s">
        <v>119</v>
      </c>
      <c r="AI104" s="74"/>
      <c r="AJ104" s="74"/>
      <c r="AK104" s="74"/>
      <c r="AL104" s="74"/>
      <c r="AM104" s="44"/>
      <c r="AN104" s="40" t="s">
        <v>151</v>
      </c>
      <c r="AO104" s="50">
        <f>AO100+AO102</f>
        <v>57410200000</v>
      </c>
    </row>
    <row r="105" spans="1:41" ht="21" customHeight="1" thickTop="1" x14ac:dyDescent="0.25">
      <c r="A105" s="14" t="s">
        <v>105</v>
      </c>
      <c r="B105" s="1">
        <f t="shared" ref="B105:AG105" si="10">(B22*(1-$AO$92))+B77+B88+B81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 t="shared" si="10"/>
        <v>1796933697.347894</v>
      </c>
      <c r="AH105" s="69">
        <f>AH107/AH3</f>
        <v>0.35407015221707477</v>
      </c>
      <c r="AI105" s="69">
        <f>AI107/AI3</f>
        <v>0.34619590688954849</v>
      </c>
      <c r="AJ105" s="69">
        <f>AJ107/AJ3</f>
        <v>0.36013150029886432</v>
      </c>
      <c r="AK105" s="69">
        <f>AK107/AK3</f>
        <v>0.43693379790940767</v>
      </c>
      <c r="AL105" s="69">
        <f>AL107/AL3</f>
        <v>0.450125</v>
      </c>
      <c r="AM105" s="70" t="s">
        <v>165</v>
      </c>
      <c r="AN105" s="76" t="s">
        <v>152</v>
      </c>
      <c r="AO105" s="76"/>
    </row>
    <row r="106" spans="1:41" ht="20" customHeight="1" x14ac:dyDescent="0.25">
      <c r="A106" s="14" t="s">
        <v>104</v>
      </c>
      <c r="B106" s="1"/>
      <c r="C106" s="15">
        <f t="shared" ref="C106:AH106" si="11">(C107/B107)-1</f>
        <v>8.5714285714285632E-2</v>
      </c>
      <c r="D106" s="15">
        <f t="shared" si="11"/>
        <v>2.6973684210526314</v>
      </c>
      <c r="E106" s="15">
        <f t="shared" si="11"/>
        <v>-0.86120996441281139</v>
      </c>
      <c r="F106" s="15">
        <f t="shared" si="11"/>
        <v>4.8974358974358978</v>
      </c>
      <c r="G106" s="15">
        <f t="shared" si="11"/>
        <v>0.22173913043478266</v>
      </c>
      <c r="H106" s="15">
        <f t="shared" si="11"/>
        <v>8.1850533807829251E-2</v>
      </c>
      <c r="I106" s="15">
        <f t="shared" si="11"/>
        <v>-0.73684210526315796</v>
      </c>
      <c r="J106" s="15">
        <f t="shared" si="11"/>
        <v>0.42500000000000004</v>
      </c>
      <c r="K106" s="15">
        <f t="shared" si="11"/>
        <v>3.6042982456140349</v>
      </c>
      <c r="L106" s="15">
        <f t="shared" si="11"/>
        <v>0.80965535636038033</v>
      </c>
      <c r="M106" s="15">
        <f t="shared" si="11"/>
        <v>-0.16631749607841073</v>
      </c>
      <c r="N106" s="15">
        <f t="shared" si="11"/>
        <v>-0.23132000656656859</v>
      </c>
      <c r="O106" s="15">
        <f t="shared" si="11"/>
        <v>1.5083208752936539</v>
      </c>
      <c r="P106" s="15">
        <f t="shared" si="11"/>
        <v>0.68019569830499593</v>
      </c>
      <c r="Q106" s="15">
        <f t="shared" si="11"/>
        <v>-0.10194941120063616</v>
      </c>
      <c r="R106" s="15">
        <f t="shared" si="11"/>
        <v>0.36163378692189152</v>
      </c>
      <c r="S106" s="15">
        <f t="shared" si="11"/>
        <v>0.28910105196047176</v>
      </c>
      <c r="T106" s="15">
        <f t="shared" si="11"/>
        <v>-0.15523837078471081</v>
      </c>
      <c r="U106" s="15">
        <f t="shared" si="11"/>
        <v>0.37859982319225782</v>
      </c>
      <c r="V106" s="15">
        <f t="shared" si="11"/>
        <v>0.19103342400132495</v>
      </c>
      <c r="W106" s="15">
        <f t="shared" si="11"/>
        <v>0.14000492052285907</v>
      </c>
      <c r="X106" s="15">
        <f t="shared" si="11"/>
        <v>0.18856605785936909</v>
      </c>
      <c r="Y106" s="15">
        <f t="shared" si="11"/>
        <v>5.6277096148153127E-2</v>
      </c>
      <c r="Z106" s="15">
        <f t="shared" si="11"/>
        <v>0.11181905263721714</v>
      </c>
      <c r="AA106" s="15">
        <f t="shared" si="11"/>
        <v>3.4859085892904096E-2</v>
      </c>
      <c r="AB106" s="15">
        <f t="shared" si="11"/>
        <v>0.27202848608661667</v>
      </c>
      <c r="AC106" s="15">
        <f t="shared" si="11"/>
        <v>0.16728768811502825</v>
      </c>
      <c r="AD106" s="15">
        <f t="shared" si="11"/>
        <v>1.997812613926353E-2</v>
      </c>
      <c r="AE106" s="15">
        <f t="shared" si="11"/>
        <v>5.525770248052031E-2</v>
      </c>
      <c r="AF106" s="15">
        <f t="shared" si="11"/>
        <v>0.32048502912884436</v>
      </c>
      <c r="AG106" s="15">
        <f t="shared" si="11"/>
        <v>-0.65921099882008927</v>
      </c>
      <c r="AH106" s="52">
        <f>(AH107/AG105)-1</f>
        <v>0.19091761880721569</v>
      </c>
      <c r="AI106" s="52">
        <f>(AI107/AH107)-1</f>
        <v>3.5514018691588767E-2</v>
      </c>
      <c r="AJ106" s="52">
        <f>(AJ107/AI107)-1</f>
        <v>8.7545126353790526E-2</v>
      </c>
      <c r="AK106" s="52">
        <f>(AK107/AJ107)-1</f>
        <v>0.30082987551867224</v>
      </c>
      <c r="AL106" s="52">
        <f>(AL107/AK107)-1</f>
        <v>0.14864433811802225</v>
      </c>
      <c r="AM106" s="66">
        <f>SUM(AH106:AL106)/5</f>
        <v>0.15269019549785789</v>
      </c>
      <c r="AN106" s="25" t="s">
        <v>111</v>
      </c>
      <c r="AO106" s="53">
        <f>(AO101*AO93)+(AO103*AO98)</f>
        <v>7.7366759683256556E-2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54">
        <v>2140000000</v>
      </c>
      <c r="AI107" s="54">
        <v>2216000000</v>
      </c>
      <c r="AJ107" s="54">
        <v>2410000000</v>
      </c>
      <c r="AK107" s="54">
        <v>3135000000</v>
      </c>
      <c r="AL107" s="54">
        <v>3601000000</v>
      </c>
      <c r="AM107" s="51" t="s">
        <v>109</v>
      </c>
      <c r="AN107" s="55" t="s">
        <v>110</v>
      </c>
      <c r="AO107" s="24">
        <f>(SUM(AH4:AL4)/5)</f>
        <v>8.3364352890873322E-2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71"/>
      <c r="AI108" s="71"/>
      <c r="AJ108" s="71"/>
      <c r="AK108" s="71"/>
      <c r="AL108" s="56">
        <f>AL107*(1+AO108)/(AO109-AO108)</f>
        <v>70484120505.553192</v>
      </c>
      <c r="AM108" s="57" t="s">
        <v>153</v>
      </c>
      <c r="AN108" s="58" t="s">
        <v>154</v>
      </c>
      <c r="AO108" s="41">
        <v>2.5000000000000001E-2</v>
      </c>
    </row>
    <row r="109" spans="1:41" ht="19" x14ac:dyDescent="0.2">
      <c r="AH109" s="56">
        <f t="shared" ref="AH109:AK109" si="12">AH108+AH107</f>
        <v>2140000000</v>
      </c>
      <c r="AI109" s="56">
        <f t="shared" si="12"/>
        <v>2216000000</v>
      </c>
      <c r="AJ109" s="56">
        <f t="shared" si="12"/>
        <v>2410000000</v>
      </c>
      <c r="AK109" s="56">
        <f t="shared" si="12"/>
        <v>3135000000</v>
      </c>
      <c r="AL109" s="56">
        <f>AL108+AL107</f>
        <v>74085120505.553192</v>
      </c>
      <c r="AM109" s="57" t="s">
        <v>151</v>
      </c>
      <c r="AN109" s="59" t="s">
        <v>155</v>
      </c>
      <c r="AO109" s="24">
        <f>AO106</f>
        <v>7.7366759683256556E-2</v>
      </c>
    </row>
    <row r="110" spans="1:41" ht="19" x14ac:dyDescent="0.2">
      <c r="AH110" s="75" t="s">
        <v>156</v>
      </c>
      <c r="AI110" s="75"/>
      <c r="AJ110" s="44"/>
      <c r="AK110" s="44"/>
      <c r="AL110" s="44"/>
      <c r="AM110" s="44"/>
      <c r="AN110" s="44"/>
      <c r="AO110" s="44"/>
    </row>
    <row r="111" spans="1:41" ht="20" x14ac:dyDescent="0.2">
      <c r="AH111" s="60" t="s">
        <v>157</v>
      </c>
      <c r="AI111" s="49">
        <f>NPV(AO109,AH109,AI109,AJ109,AK109,AL109)</f>
        <v>59189903196.087646</v>
      </c>
      <c r="AJ111" s="44"/>
      <c r="AK111" s="44"/>
      <c r="AL111" s="44"/>
      <c r="AM111" s="44"/>
      <c r="AN111" s="44"/>
      <c r="AO111" s="44"/>
    </row>
    <row r="112" spans="1:41" ht="20" x14ac:dyDescent="0.2">
      <c r="AH112" s="60" t="s">
        <v>158</v>
      </c>
      <c r="AI112" s="49">
        <f>AG40</f>
        <v>792800000</v>
      </c>
      <c r="AJ112" s="44"/>
      <c r="AK112" s="44"/>
      <c r="AL112" s="44"/>
      <c r="AM112" s="44"/>
      <c r="AN112" s="44"/>
      <c r="AO112" s="44"/>
    </row>
    <row r="113" spans="34:41" ht="20" x14ac:dyDescent="0.2">
      <c r="AH113" s="60" t="s">
        <v>147</v>
      </c>
      <c r="AI113" s="49">
        <f>AO100</f>
        <v>6661700000</v>
      </c>
      <c r="AJ113" s="44"/>
      <c r="AK113" s="44"/>
      <c r="AL113" s="44"/>
      <c r="AM113" s="44"/>
      <c r="AN113" s="44"/>
      <c r="AO113" s="44"/>
    </row>
    <row r="114" spans="34:41" ht="20" x14ac:dyDescent="0.2">
      <c r="AH114" s="60" t="s">
        <v>159</v>
      </c>
      <c r="AI114" s="49">
        <f>AI111+AI112-AI113</f>
        <v>53321003196.087646</v>
      </c>
      <c r="AJ114" s="44"/>
      <c r="AK114" s="44"/>
      <c r="AL114" s="44"/>
      <c r="AM114" s="44"/>
      <c r="AN114" s="44"/>
      <c r="AO114" s="44"/>
    </row>
    <row r="115" spans="34:41" ht="20" x14ac:dyDescent="0.2">
      <c r="AH115" s="60" t="s">
        <v>160</v>
      </c>
      <c r="AI115" s="60">
        <f>AG34*(1+(5*AM16))</f>
        <v>110143046.1550903</v>
      </c>
      <c r="AJ115" s="44"/>
      <c r="AK115" s="44"/>
      <c r="AL115" s="44"/>
      <c r="AM115" s="44"/>
      <c r="AN115" s="44"/>
      <c r="AO115" s="44"/>
    </row>
    <row r="116" spans="34:41" ht="20" x14ac:dyDescent="0.2">
      <c r="AH116" s="61" t="s">
        <v>161</v>
      </c>
      <c r="AI116" s="62">
        <f>AI114/AI115</f>
        <v>484.10685065861867</v>
      </c>
      <c r="AJ116" s="44"/>
      <c r="AK116" s="44"/>
      <c r="AL116" s="44"/>
      <c r="AM116" s="44"/>
      <c r="AN116" s="44"/>
      <c r="AO116" s="44"/>
    </row>
    <row r="117" spans="34:41" ht="20" x14ac:dyDescent="0.2">
      <c r="AH117" s="60" t="s">
        <v>162</v>
      </c>
      <c r="AI117" s="63" cm="1">
        <f t="array" ref="AI117">_FV(A1,"Price",TRUE)</f>
        <v>475.57</v>
      </c>
      <c r="AJ117" s="44"/>
      <c r="AK117" s="44"/>
      <c r="AL117" s="44"/>
      <c r="AM117" s="44"/>
      <c r="AN117" s="44"/>
      <c r="AO117" s="44"/>
    </row>
    <row r="118" spans="34:41" ht="20" x14ac:dyDescent="0.2">
      <c r="AH118" s="61" t="s">
        <v>163</v>
      </c>
      <c r="AI118" s="64">
        <f>(AI116/AI117)-1</f>
        <v>1.7950776244545885E-2</v>
      </c>
      <c r="AJ118" s="44"/>
      <c r="AK118" s="44"/>
      <c r="AL118" s="44"/>
      <c r="AM118" s="44"/>
      <c r="AN118" s="44"/>
      <c r="AO118" s="44"/>
    </row>
    <row r="119" spans="34:41" ht="20" x14ac:dyDescent="0.2">
      <c r="AH119" s="61" t="s">
        <v>164</v>
      </c>
      <c r="AI119" s="65" t="str">
        <f>IF(AI116&gt;AI117,"BUY","SELL")</f>
        <v>BUY</v>
      </c>
      <c r="AJ119" s="44"/>
      <c r="AK119" s="44"/>
      <c r="AL119" s="44"/>
      <c r="AM119" s="44"/>
      <c r="AN119" s="44"/>
      <c r="AO119" s="44"/>
    </row>
  </sheetData>
  <mergeCells count="7">
    <mergeCell ref="AN84:AO84"/>
    <mergeCell ref="AH104:AL104"/>
    <mergeCell ref="AH110:AI110"/>
    <mergeCell ref="AN105:AO105"/>
    <mergeCell ref="AN99:AO99"/>
    <mergeCell ref="AN85:AO85"/>
    <mergeCell ref="AN94:AO9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7" r:id="rId67" xr:uid="{C3AB093A-BFA2-6D4F-90E0-9F56D07A5165}"/>
  </hyperlinks>
  <pageMargins left="0.7" right="0.7" top="0.75" bottom="0.75" header="0.3" footer="0.3"/>
  <ignoredErrors>
    <ignoredError sqref="AH106" formula="1"/>
  </ignoredErrors>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2023-05-04T01:56:37Z</dcterms:created>
  <dcterms:modified xsi:type="dcterms:W3CDTF">2023-10-30T06:56:26Z</dcterms:modified>
</cp:coreProperties>
</file>