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0559C4F-ED5F-9446-B2C1-167C5B554AC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O109" i="1" l="1"/>
  <c r="AP109" i="1"/>
  <c r="AQ109" i="1"/>
  <c r="AN109" i="1"/>
  <c r="AN106" i="1"/>
  <c r="AR106" i="1"/>
  <c r="AQ106" i="1"/>
  <c r="AP106" i="1"/>
  <c r="AO106" i="1"/>
  <c r="AV7" i="1"/>
  <c r="AS7" i="1"/>
  <c r="AN6" i="1"/>
  <c r="AS106" i="1" l="1"/>
  <c r="E105" i="1" l="1"/>
  <c r="F105" i="1"/>
  <c r="G105" i="1"/>
  <c r="M105" i="1"/>
  <c r="N105" i="1"/>
  <c r="O105" i="1"/>
  <c r="U105" i="1"/>
  <c r="V105" i="1"/>
  <c r="W105" i="1"/>
  <c r="AC105" i="1"/>
  <c r="AD105" i="1"/>
  <c r="AE105" i="1"/>
  <c r="AK105" i="1"/>
  <c r="AL105" i="1"/>
  <c r="AM105" i="1"/>
  <c r="AR30" i="1"/>
  <c r="AQ30" i="1"/>
  <c r="AP30" i="1"/>
  <c r="AO30" i="1"/>
  <c r="AN30" i="1"/>
  <c r="AU7" i="1" s="1"/>
  <c r="AR29" i="1"/>
  <c r="AQ29" i="1"/>
  <c r="AP29" i="1"/>
  <c r="AO29" i="1"/>
  <c r="AN29" i="1"/>
  <c r="AR21" i="1"/>
  <c r="AQ21" i="1"/>
  <c r="AP21" i="1"/>
  <c r="AO21" i="1"/>
  <c r="AN21" i="1"/>
  <c r="AT7" i="1" s="1"/>
  <c r="AR20" i="1"/>
  <c r="AQ20" i="1"/>
  <c r="AP20" i="1"/>
  <c r="AO20" i="1"/>
  <c r="AN20" i="1"/>
  <c r="AO117" i="1" a="1"/>
  <c r="AO117" i="1" s="1"/>
  <c r="AU19" i="1" s="1"/>
  <c r="AU102" i="1" a="1"/>
  <c r="AU102" i="1" s="1"/>
  <c r="AU96" i="1" a="1"/>
  <c r="AU96" i="1" s="1"/>
  <c r="AV13" i="1"/>
  <c r="AV10" i="1"/>
  <c r="AV4" i="1"/>
  <c r="AO112" i="1"/>
  <c r="AU91" i="1"/>
  <c r="AU90" i="1"/>
  <c r="AU92" i="1" s="1"/>
  <c r="H105" i="1" s="1"/>
  <c r="AU88" i="1"/>
  <c r="AU87" i="1"/>
  <c r="AU100" i="1" s="1"/>
  <c r="AU86" i="1"/>
  <c r="AU89" i="1" s="1"/>
  <c r="AS19" i="1"/>
  <c r="AS16" i="1"/>
  <c r="AO115" i="1" s="1"/>
  <c r="AU13" i="1"/>
  <c r="AT13" i="1"/>
  <c r="AS13" i="1"/>
  <c r="AU10" i="1"/>
  <c r="AT10" i="1"/>
  <c r="AS10" i="1"/>
  <c r="AU4" i="1"/>
  <c r="AT4" i="1"/>
  <c r="AS4" i="1"/>
  <c r="AR4" i="1"/>
  <c r="AQ4" i="1"/>
  <c r="AP4" i="1"/>
  <c r="AO4" i="1"/>
  <c r="AN4" i="1"/>
  <c r="AM106" i="1"/>
  <c r="AM89" i="1"/>
  <c r="AM80" i="1"/>
  <c r="AM35" i="1"/>
  <c r="AM29" i="1"/>
  <c r="AM20" i="1"/>
  <c r="AM13" i="1"/>
  <c r="AM9"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22" i="1" l="1"/>
  <c r="AV16" i="1"/>
  <c r="AV22" i="1"/>
  <c r="AJ105" i="1"/>
  <c r="D105" i="1"/>
  <c r="AI105" i="1"/>
  <c r="AA105" i="1"/>
  <c r="S105" i="1"/>
  <c r="K105" i="1"/>
  <c r="C105" i="1"/>
  <c r="AB105" i="1"/>
  <c r="J105" i="1"/>
  <c r="L105" i="1"/>
  <c r="Z105" i="1"/>
  <c r="R105" i="1"/>
  <c r="AG105" i="1"/>
  <c r="Y105" i="1"/>
  <c r="Q105" i="1"/>
  <c r="I105" i="1"/>
  <c r="T105" i="1"/>
  <c r="AH105" i="1"/>
  <c r="B105" i="1"/>
  <c r="AF105" i="1"/>
  <c r="X105" i="1"/>
  <c r="P105" i="1"/>
  <c r="AT19" i="1"/>
  <c r="AU22" i="1"/>
  <c r="AU107" i="1"/>
  <c r="AU16" i="1"/>
  <c r="AT16" i="1"/>
  <c r="AU93" i="1"/>
  <c r="AU104" i="1"/>
  <c r="AU103" i="1" s="1"/>
  <c r="AO113" i="1"/>
  <c r="AV19" i="1" l="1"/>
  <c r="AU101" i="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<sst xmlns="http://schemas.openxmlformats.org/spreadsheetml/2006/main" count="1121" uniqueCount="169">
  <si>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</si>
  <si>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</si>
  <si>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</si>
  <si>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</si>
  <si>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</si>
  <si>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</si>
  <si>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</si>
  <si>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</si>
  <si>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</si>
  <si>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</si>
  <si>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</si>
  <si>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</si>
  <si>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</si>
  <si>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</si>
  <si>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</si>
  <si>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</si>
  <si>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</si>
  <si>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</si>
  <si>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</si>
  <si>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</si>
  <si>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</si>
  <si>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</si>
  <si>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</si>
  <si>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</si>
  <si>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</si>
  <si>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</si>
  <si>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</si>
  <si>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</si>
  <si>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</si>
  <si>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</si>
  <si>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</si>
  <si>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</si>
  <si>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</si>
  <si>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</si>
  <si>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</si>
  <si>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</si>
  <si>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</si>
  <si>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</si>
  <si>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</si>
  <si>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</si>
  <si>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</si>
  <si>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</si>
  <si>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</si>
  <si>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</si>
  <si>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</si>
  <si>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</si>
  <si>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</si>
  <si>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</si>
  <si>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</si>
  <si>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</si>
  <si>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</si>
  <si>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</si>
  <si>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</si>
  <si>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</si>
  <si>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</si>
  <si>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</si>
  <si>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</si>
  <si>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</si>
  <si>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</si>
  <si>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</si>
  <si>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</si>
  <si>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</si>
  <si>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</si>
  <si>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</si>
  <si>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</si>
  <si>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</si>
  <si>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</si>
  <si>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</si>
  <si>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</si>
  <si>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</si>
  <si>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</si>
  <si>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</si>
  <si>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</si>
  <si>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</si>
  <si>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</si>
  <si>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</si>
  <si>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</si>
  <si>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</si>
  <si>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</si>
  <si>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</si>
  <si>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</si>
  <si>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</si>
  <si>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</si>
  <si>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</si>
  <si>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</si>
  <si>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</si>
  <si>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</si>
  <si>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</si>
  <si>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</si>
  <si>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</si>
  <si>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</si>
  <si>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</si>
  <si>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</si>
  <si>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</si>
  <si>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</si>
  <si>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</si>
  <si>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</si>
  <si>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</si>
  <si>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</si>
  <si>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</si>
  <si>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</si>
  <si>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</si>
  <si>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</si>
  <si>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</si>
  <si>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</si>
  <si>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</si>
  <si>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</si>
  <si>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</si>
  <si>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</si>
  <si>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</si>
  <si>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</si>
  <si>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</si>
  <si>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</si>
  <si>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</si>
  <si>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</si>
  <si>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</si>
  <si>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</si>
  <si>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</si>
  <si>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</si>
  <si>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</si>
  <si>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</si>
  <si>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</si>
  <si>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</si>
  <si>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</si>
  <si>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</si>
  <si>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</si>
  <si>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</si>
  <si>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</si>
  <si>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</si>
  <si>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</si>
  <si>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</si>
  <si>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</si>
  <si>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</si>
  <si>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</si>
  <si>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</si>
  <si>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</si>
  <si>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</si>
  <si>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</si>
  <si>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</si>
  <si>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</si>
  <si>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</si>
  <si>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</si>
  <si>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</si>
  <si>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</si>
  <si>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</si>
  <si>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</si>
  <si>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</si>
  <si>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</si>
  <si>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</si>
  <si>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</si>
  <si>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</si>
  <si>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</si>
  <si>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</si>
  <si>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</si>
  <si>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</si>
  <si>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</si>
  <si>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</si>
  <si>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Forward P/S</t>
  </si>
  <si>
    <t>Forward P/E</t>
  </si>
  <si>
    <t>Forward P/FCF</t>
  </si>
  <si>
    <t>Dividend Yield</t>
  </si>
  <si>
    <t>Unlevered FCF</t>
  </si>
  <si>
    <t>Levered FCF Growth YoY</t>
  </si>
  <si>
    <t>Levered FCF</t>
  </si>
  <si>
    <t>Unlevered FCF Forecast</t>
  </si>
  <si>
    <t xml:space="preserve"> `</t>
  </si>
  <si>
    <t>5Y Fwd Income CAGR</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</si>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</sst>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1" fillId="0" borderId="0" xfId="0" applyNumberFormat="1" applyFont="1"/>
    <xf numFmtId="9" fontId="11" fillId="0" borderId="0" xfId="0" applyNumberFormat="1" applyFont="1"/>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64" fontId="1" fillId="7" borderId="0" xfId="0" applyNumberFormat="1" applyFont="1"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0" fontId="11" fillId="4" borderId="0" xfId="0" applyNumberFormat="1" applyFont="1" applyFill="1"/>
    <xf numFmtId="165" fontId="11" fillId="4" borderId="0" xfId="0" applyNumberFormat="1" applyFont="1" applyFill="1" applyAlignment="1">
      <alignment horizontal="center" vertical="center"/>
    </xf>
    <xf numFmtId="165" fontId="10" fillId="4" borderId="0" xfId="0" applyNumberFormat="1" applyFont="1" applyFill="1" applyAlignment="1">
      <alignment vertical="center"/>
    </xf>
    <xf numFmtId="0" fontId="0" fillId="4" borderId="0" xfId="0"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417161716171616"/>
          <c:y val="0.15926982481333493"/>
          <c:w val="0.83114191419141914"/>
          <c:h val="0.5957641412624460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pt idx="38">
                  <c:v>383000000000</c:v>
                </c:pt>
                <c:pt idx="39">
                  <c:v>406100000000</c:v>
                </c:pt>
                <c:pt idx="40">
                  <c:v>429800000000</c:v>
                </c:pt>
                <c:pt idx="41">
                  <c:v>485700000000</c:v>
                </c:pt>
                <c:pt idx="42">
                  <c:v>526700000000</c:v>
                </c:pt>
              </c:numCache>
            </c:numRef>
          </c:val>
          <c:extLst>
            <c:ext xmlns:c16="http://schemas.microsoft.com/office/drawing/2014/chart" uri="{C3380CC4-5D6E-409C-BE32-E72D297353CC}">
              <c16:uniqueId val="{00000000-F29A-B64F-954A-B00561ECDE8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61200000</c:v>
                </c:pt>
                <c:pt idx="1">
                  <c:v>154000000</c:v>
                </c:pt>
                <c:pt idx="2">
                  <c:v>217500000</c:v>
                </c:pt>
                <c:pt idx="3">
                  <c:v>400300000</c:v>
                </c:pt>
                <c:pt idx="4">
                  <c:v>454000000</c:v>
                </c:pt>
                <c:pt idx="5">
                  <c:v>474900000</c:v>
                </c:pt>
                <c:pt idx="6">
                  <c:v>309800000</c:v>
                </c:pt>
                <c:pt idx="7">
                  <c:v>530400000</c:v>
                </c:pt>
                <c:pt idx="8">
                  <c:v>86600000</c:v>
                </c:pt>
                <c:pt idx="9">
                  <c:v>310178000</c:v>
                </c:pt>
                <c:pt idx="10">
                  <c:v>424000000</c:v>
                </c:pt>
                <c:pt idx="11">
                  <c:v>-816000000</c:v>
                </c:pt>
                <c:pt idx="12">
                  <c:v>-1045000000</c:v>
                </c:pt>
                <c:pt idx="13">
                  <c:v>309000000</c:v>
                </c:pt>
                <c:pt idx="14">
                  <c:v>601000000</c:v>
                </c:pt>
                <c:pt idx="15">
                  <c:v>786000000</c:v>
                </c:pt>
                <c:pt idx="16">
                  <c:v>-25000000</c:v>
                </c:pt>
                <c:pt idx="17">
                  <c:v>65000000</c:v>
                </c:pt>
                <c:pt idx="18">
                  <c:v>69000000</c:v>
                </c:pt>
                <c:pt idx="19">
                  <c:v>276000000</c:v>
                </c:pt>
                <c:pt idx="20">
                  <c:v>1335000000</c:v>
                </c:pt>
                <c:pt idx="21">
                  <c:v>1989000000</c:v>
                </c:pt>
                <c:pt idx="22">
                  <c:v>3496000000</c:v>
                </c:pt>
                <c:pt idx="23">
                  <c:v>4834000000</c:v>
                </c:pt>
                <c:pt idx="24">
                  <c:v>5704000000</c:v>
                </c:pt>
                <c:pt idx="25">
                  <c:v>14013000000</c:v>
                </c:pt>
                <c:pt idx="26">
                  <c:v>25922000000</c:v>
                </c:pt>
                <c:pt idx="27">
                  <c:v>41733000000</c:v>
                </c:pt>
                <c:pt idx="28">
                  <c:v>37037000000</c:v>
                </c:pt>
                <c:pt idx="29">
                  <c:v>39510000000</c:v>
                </c:pt>
                <c:pt idx="30">
                  <c:v>53394000000</c:v>
                </c:pt>
                <c:pt idx="31">
                  <c:v>45687000000</c:v>
                </c:pt>
                <c:pt idx="32">
                  <c:v>48351000000</c:v>
                </c:pt>
                <c:pt idx="33">
                  <c:v>59531000000</c:v>
                </c:pt>
                <c:pt idx="34">
                  <c:v>55256000000</c:v>
                </c:pt>
                <c:pt idx="35">
                  <c:v>57411000000</c:v>
                </c:pt>
                <c:pt idx="36">
                  <c:v>94680000000</c:v>
                </c:pt>
                <c:pt idx="37">
                  <c:v>99803000000</c:v>
                </c:pt>
                <c:pt idx="38">
                  <c:v>95970000000</c:v>
                </c:pt>
                <c:pt idx="39">
                  <c:v>100700000000</c:v>
                </c:pt>
                <c:pt idx="40">
                  <c:v>108700000000</c:v>
                </c:pt>
                <c:pt idx="41">
                  <c:v>119700000000</c:v>
                </c:pt>
                <c:pt idx="42">
                  <c:v>131600000000</c:v>
                </c:pt>
              </c:numCache>
            </c:numRef>
          </c:val>
          <c:extLst>
            <c:ext xmlns:c16="http://schemas.microsoft.com/office/drawing/2014/chart" uri="{C3380CC4-5D6E-409C-BE32-E72D297353CC}">
              <c16:uniqueId val="{00000001-F29A-B64F-954A-B00561ECDE8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pt idx="38">
                  <c:v>94160000000</c:v>
                </c:pt>
                <c:pt idx="39">
                  <c:v>105200000000</c:v>
                </c:pt>
                <c:pt idx="40">
                  <c:v>115200000000</c:v>
                </c:pt>
                <c:pt idx="41">
                  <c:v>126400000000</c:v>
                </c:pt>
                <c:pt idx="42">
                  <c:v>136000000000</c:v>
                </c:pt>
              </c:numCache>
            </c:numRef>
          </c:val>
          <c:extLst>
            <c:ext xmlns:c16="http://schemas.microsoft.com/office/drawing/2014/chart" uri="{C3380CC4-5D6E-409C-BE32-E72D297353CC}">
              <c16:uniqueId val="{00000002-F29A-B64F-954A-B00561ECDE8F}"/>
            </c:ext>
          </c:extLst>
        </c:ser>
        <c:dLbls>
          <c:showLegendKey val="0"/>
          <c:showVal val="0"/>
          <c:showCatName val="0"/>
          <c:showSerName val="0"/>
          <c:showPercent val="0"/>
          <c:showBubbleSize val="0"/>
        </c:dLbls>
        <c:gapWidth val="150"/>
        <c:overlap val="100"/>
        <c:axId val="223847904"/>
        <c:axId val="223850176"/>
      </c:barChart>
      <c:catAx>
        <c:axId val="2238479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23850176"/>
        <c:crosses val="autoZero"/>
        <c:auto val="1"/>
        <c:lblAlgn val="ctr"/>
        <c:lblOffset val="100"/>
        <c:noMultiLvlLbl val="0"/>
      </c:catAx>
      <c:valAx>
        <c:axId val="2238501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23847904"/>
        <c:crosses val="autoZero"/>
        <c:crossBetween val="between"/>
      </c:valAx>
      <c:spPr>
        <a:noFill/>
        <a:ln>
          <a:noFill/>
        </a:ln>
        <a:effectLst/>
      </c:spPr>
    </c:plotArea>
    <c:legend>
      <c:legendPos val="b"/>
      <c:layout>
        <c:manualLayout>
          <c:xMode val="edge"/>
          <c:yMode val="edge"/>
          <c:x val="0.34336872742392349"/>
          <c:y val="0.88463378319391039"/>
          <c:w val="0.31499520294736266"/>
          <c:h val="6.09595810938682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33338</xdr:rowOff>
    </xdr:from>
    <xdr:to>
      <xdr:col>47</xdr:col>
      <xdr:colOff>15875</xdr:colOff>
      <xdr:row>128</xdr:row>
      <xdr:rowOff>0</xdr:rowOff>
    </xdr:to>
    <xdr:graphicFrame macro="">
      <xdr:nvGraphicFramePr>
        <xdr:cNvPr id="3" name="Chart 2">
          <a:extLst>
            <a:ext uri="{FF2B5EF4-FFF2-40B4-BE49-F238E27FC236}">
              <a16:creationId xmlns:a16="http://schemas.microsoft.com/office/drawing/2014/main" id="{28BF2137-4C69-AF21-E249-5FBC4649C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198.23</v>
    <v>124.17</v>
    <v>1.3018000000000001</v>
    <v>1.33</v>
    <v>7.9690000000000004E-3</v>
    <v>-0.2001</v>
    <v>-1.1899999999999999E-3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168.96</v>
    <v>Computers, Phones &amp; Household Electronics</v>
    <v>Stock</v>
    <v>45226.999880046096</v>
    <v>0</v>
    <v>166.83</v>
    <v>2629991000000</v>
    <v>APPLE INC.</v>
    <v>APPLE INC.</v>
    <v>166.91</v>
    <v>28.250599999999999</v>
    <v>166.89</v>
    <v>168.22</v>
    <v>168.01990000000001</v>
    <v>15634230000</v>
    <v>AAPL</v>
    <v>APPLE INC. (XNAS:AAPL)</v>
    <v>58499129</v>
    <v>54437363</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hyperlink" Target="https://finbox.com/NASDAQGS:AAP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2" activePane="bottomRight" state="frozen"/>
      <selection pane="topRight"/>
      <selection pane="bottomLeft"/>
      <selection pane="bottomRight" activeCell="AP23" sqref="AP2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4">
        <v>383000000000</v>
      </c>
      <c r="AO3" s="24">
        <v>406100000000</v>
      </c>
      <c r="AP3" s="24">
        <v>429800000000</v>
      </c>
      <c r="AQ3" s="24">
        <v>485700000000</v>
      </c>
      <c r="AR3" s="24">
        <v>526700000000</v>
      </c>
      <c r="AS3" s="18" t="s">
        <v>107</v>
      </c>
      <c r="AT3" s="19" t="s">
        <v>108</v>
      </c>
      <c r="AU3" s="19" t="s">
        <v>109</v>
      </c>
      <c r="AV3" s="19" t="s">
        <v>153</v>
      </c>
    </row>
    <row r="4" spans="1:48" ht="19" x14ac:dyDescent="0.25">
      <c r="A4" s="14" t="s">
        <v>93</v>
      </c>
      <c r="B4" s="43"/>
      <c r="C4" s="44">
        <f>(C3/B3)-1</f>
        <v>-8.5492363029765484E-3</v>
      </c>
      <c r="D4" s="44">
        <f>(D3/C3)-1</f>
        <v>0.39917976760082019</v>
      </c>
      <c r="E4" s="44">
        <f>(E3/D3)-1</f>
        <v>0.52996880989064676</v>
      </c>
      <c r="F4" s="44">
        <f t="shared" ref="F4:AR4" si="0">(F3/E3)-1</f>
        <v>0.29783366900820352</v>
      </c>
      <c r="G4" s="44">
        <f t="shared" si="0"/>
        <v>5.1930355791067306E-2</v>
      </c>
      <c r="H4" s="44">
        <f t="shared" si="0"/>
        <v>0.13500287852619453</v>
      </c>
      <c r="I4" s="44">
        <f t="shared" si="0"/>
        <v>0.12327225462845548</v>
      </c>
      <c r="J4" s="44">
        <f t="shared" si="0"/>
        <v>0.1256614689903337</v>
      </c>
      <c r="K4" s="44">
        <f t="shared" si="0"/>
        <v>0.15190522752914637</v>
      </c>
      <c r="L4" s="44">
        <f t="shared" si="0"/>
        <v>0.20386368197277793</v>
      </c>
      <c r="M4" s="44">
        <f t="shared" si="0"/>
        <v>-0.11110106671487974</v>
      </c>
      <c r="N4" s="44">
        <f t="shared" si="0"/>
        <v>-0.27987389403030616</v>
      </c>
      <c r="O4" s="44">
        <f t="shared" si="0"/>
        <v>-0.16099420985736479</v>
      </c>
      <c r="P4" s="44">
        <f t="shared" si="0"/>
        <v>3.2486113448914278E-2</v>
      </c>
      <c r="Q4" s="44">
        <f t="shared" si="0"/>
        <v>0.30143462667101395</v>
      </c>
      <c r="R4" s="44">
        <f t="shared" si="0"/>
        <v>-0.32819741951647252</v>
      </c>
      <c r="S4" s="44">
        <f t="shared" si="0"/>
        <v>7.0669401454409808E-2</v>
      </c>
      <c r="T4" s="44">
        <f t="shared" si="0"/>
        <v>8.0982236154649945E-2</v>
      </c>
      <c r="U4" s="44">
        <f t="shared" si="0"/>
        <v>0.33381665861124543</v>
      </c>
      <c r="V4" s="44">
        <f t="shared" si="0"/>
        <v>0.68269114627370464</v>
      </c>
      <c r="W4" s="44">
        <f t="shared" si="0"/>
        <v>0.38647620414902017</v>
      </c>
      <c r="X4" s="44">
        <f t="shared" si="0"/>
        <v>0.24286823712140815</v>
      </c>
      <c r="Y4" s="44">
        <f t="shared" si="0"/>
        <v>0.3529534283095892</v>
      </c>
      <c r="Z4" s="44">
        <f t="shared" si="0"/>
        <v>0.1249422703900982</v>
      </c>
      <c r="AA4" s="44">
        <f t="shared" si="0"/>
        <v>0.78517667022470383</v>
      </c>
      <c r="AB4" s="44">
        <f t="shared" si="0"/>
        <v>0.65962437715599842</v>
      </c>
      <c r="AC4" s="44">
        <f t="shared" si="0"/>
        <v>0.44581474193756976</v>
      </c>
      <c r="AD4" s="44">
        <f t="shared" si="0"/>
        <v>9.2020855163953197E-2</v>
      </c>
      <c r="AE4" s="44">
        <f t="shared" si="0"/>
        <v>6.9539523725937524E-2</v>
      </c>
      <c r="AF4" s="44">
        <f t="shared" si="0"/>
        <v>0.27856341803659834</v>
      </c>
      <c r="AG4" s="44">
        <f t="shared" si="0"/>
        <v>-7.7342061913013738E-2</v>
      </c>
      <c r="AH4" s="44">
        <f t="shared" si="0"/>
        <v>6.304518199398057E-2</v>
      </c>
      <c r="AI4" s="44">
        <f t="shared" si="0"/>
        <v>0.15861957650261305</v>
      </c>
      <c r="AJ4" s="44">
        <f t="shared" si="0"/>
        <v>-2.04107758052674E-2</v>
      </c>
      <c r="AK4" s="44">
        <f t="shared" si="0"/>
        <v>5.5120803769784787E-2</v>
      </c>
      <c r="AL4" s="44">
        <f t="shared" si="0"/>
        <v>0.33259384733074704</v>
      </c>
      <c r="AM4" s="44">
        <f t="shared" si="0"/>
        <v>7.7937876041846099E-2</v>
      </c>
      <c r="AN4" s="16">
        <f t="shared" si="0"/>
        <v>-2.8727353877989859E-2</v>
      </c>
      <c r="AO4" s="16">
        <f t="shared" si="0"/>
        <v>6.031331592689293E-2</v>
      </c>
      <c r="AP4" s="16">
        <f t="shared" si="0"/>
        <v>5.8360009849790728E-2</v>
      </c>
      <c r="AQ4" s="16">
        <f t="shared" si="0"/>
        <v>0.13006049325267566</v>
      </c>
      <c r="AR4" s="16">
        <f t="shared" si="0"/>
        <v>8.4414247477867077E-2</v>
      </c>
      <c r="AS4" s="17">
        <f>(AM4+AL4+AK4)/3</f>
        <v>0.15521750904745932</v>
      </c>
      <c r="AT4" s="17">
        <f>(AM20+AL20+AK20)/3</f>
        <v>0.19692936836066585</v>
      </c>
      <c r="AU4" s="17">
        <f>(AM29+AL29+AK29)/3</f>
        <v>0.24742339212280759</v>
      </c>
      <c r="AV4" s="17">
        <f>(AM106+AL106+AK106)/3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N6" s="31">
        <f>AN3*AN7</f>
        <v>170511600000</v>
      </c>
      <c r="AS6" s="46" t="s">
        <v>110</v>
      </c>
      <c r="AT6" s="47" t="s">
        <v>111</v>
      </c>
      <c r="AU6" s="47" t="s">
        <v>112</v>
      </c>
      <c r="AV6" s="47" t="s">
        <v>154</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N7" s="2">
        <v>0.44519999999999998</v>
      </c>
      <c r="AS7" s="17">
        <f>AN7</f>
        <v>0.44519999999999998</v>
      </c>
      <c r="AT7" s="20">
        <f>AN21</f>
        <v>0.32715404699738904</v>
      </c>
      <c r="AU7" s="20">
        <f>AN30</f>
        <v>0.25057441253263707</v>
      </c>
      <c r="AV7" s="20">
        <f>AN107/AN3</f>
        <v>0.24584856396866842</v>
      </c>
    </row>
    <row r="8" spans="1:48" ht="19" x14ac:dyDescent="0.25">
      <c r="A8" s="5" t="s">
        <v>5</v>
      </c>
      <c r="B8" s="1" t="s">
        <v>91</v>
      </c>
      <c r="C8" s="1" t="s">
        <v>91</v>
      </c>
      <c r="D8" s="1" t="s">
        <v>91</v>
      </c>
      <c r="E8" s="1" t="s">
        <v>91</v>
      </c>
      <c r="F8" s="1" t="s">
        <v>91</v>
      </c>
      <c r="G8" s="1" t="s">
        <v>91</v>
      </c>
      <c r="H8" s="1" t="s">
        <v>91</v>
      </c>
      <c r="I8" s="1" t="s">
        <v>91</v>
      </c>
      <c r="J8" s="1" t="s">
        <v>91</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6.657148363798665E-2</v>
      </c>
      <c r="AT10" s="20">
        <f>AM13</f>
        <v>6.3637378020328261E-2</v>
      </c>
      <c r="AU10" s="20">
        <f>AM80</f>
        <v>2.2920005680550203E-2</v>
      </c>
      <c r="AV10" s="20">
        <f>AM89</f>
        <v>2.7155058732831552E-2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113</v>
      </c>
      <c r="AT12" s="19" t="s">
        <v>114</v>
      </c>
      <c r="AU12" s="19" t="s">
        <v>115</v>
      </c>
      <c r="AV12" s="19" t="s">
        <v>155</v>
      </c>
    </row>
    <row r="13" spans="1:48" ht="19" x14ac:dyDescent="0.25">
      <c r="A13" s="14" t="s">
        <v>99</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116</v>
      </c>
      <c r="AT15" s="19" t="s">
        <v>117</v>
      </c>
      <c r="AU15" s="19" t="s">
        <v>118</v>
      </c>
      <c r="AV15" s="19" t="s">
        <v>156</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5">
        <f>(AM35+AL35+AK35+AJ35+AI35)/5</f>
        <v>-4.9070536893905711E-2</v>
      </c>
      <c r="AT16" s="27">
        <f>AU102/AM3</f>
        <v>6.6695517437260348</v>
      </c>
      <c r="AU16" s="27">
        <f>AU102/AM28</f>
        <v>26.351823091490235</v>
      </c>
      <c r="AV16" s="29">
        <f>AU102/AM107</f>
        <v>23.599427510027549</v>
      </c>
    </row>
    <row r="17" spans="1:48" ht="19" x14ac:dyDescent="0.25">
      <c r="A17" s="5" t="s">
        <v>12</v>
      </c>
      <c r="B17" s="1" t="s">
        <v>91</v>
      </c>
      <c r="C17" s="1" t="s">
        <v>91</v>
      </c>
      <c r="D17" s="1" t="s">
        <v>91</v>
      </c>
      <c r="E17" s="1" t="s">
        <v>91</v>
      </c>
      <c r="F17" s="1" t="s">
        <v>91</v>
      </c>
      <c r="G17" s="1" t="s">
        <v>91</v>
      </c>
      <c r="H17" s="1" t="s">
        <v>91</v>
      </c>
      <c r="I17" s="1" t="s">
        <v>91</v>
      </c>
      <c r="J17" s="1" t="s">
        <v>91</v>
      </c>
      <c r="K17" s="1">
        <v>39653000</v>
      </c>
      <c r="L17" s="1">
        <v>48000000</v>
      </c>
      <c r="M17" s="1">
        <v>60000000</v>
      </c>
      <c r="N17" s="1">
        <v>71000000</v>
      </c>
      <c r="O17" s="1">
        <v>62000000</v>
      </c>
      <c r="P17" s="1">
        <v>47000000</v>
      </c>
      <c r="Q17" s="1">
        <v>21000000</v>
      </c>
      <c r="R17" s="1">
        <v>16000000</v>
      </c>
      <c r="S17" s="1">
        <v>11000000</v>
      </c>
      <c r="T17" s="1">
        <v>8000000</v>
      </c>
      <c r="U17" s="1">
        <v>3000000</v>
      </c>
      <c r="V17" s="1" t="s">
        <v>91</v>
      </c>
      <c r="W17" s="1" t="s">
        <v>91</v>
      </c>
      <c r="X17" s="1" t="s">
        <v>91</v>
      </c>
      <c r="Y17" s="1" t="s">
        <v>91</v>
      </c>
      <c r="Z17" s="1" t="s">
        <v>91</v>
      </c>
      <c r="AA17" s="1" t="s">
        <v>91</v>
      </c>
      <c r="AB17" s="1" t="s">
        <v>91</v>
      </c>
      <c r="AC17" s="1" t="s">
        <v>91</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8"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119</v>
      </c>
      <c r="AT18" s="19" t="s">
        <v>157</v>
      </c>
      <c r="AU18" s="19" t="s">
        <v>158</v>
      </c>
      <c r="AV18" s="19" t="s">
        <v>159</v>
      </c>
    </row>
    <row r="19" spans="1:48"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N19" s="31">
        <v>125300000000</v>
      </c>
      <c r="AO19" s="31">
        <v>133800000000</v>
      </c>
      <c r="AP19" s="31">
        <v>145900000000</v>
      </c>
      <c r="AQ19" s="31">
        <v>156100000000</v>
      </c>
      <c r="AR19" s="31">
        <v>170900000000</v>
      </c>
      <c r="AS19" s="26">
        <f>AM40-AM56-AM61</f>
        <v>-71765000000</v>
      </c>
      <c r="AT19" s="27">
        <f>AU102/AN3</f>
        <v>6.8668172323759791</v>
      </c>
      <c r="AU19" s="28">
        <f>AO117/AN31</f>
        <v>27.486928104575163</v>
      </c>
      <c r="AV19" s="29">
        <f>AU102/AN107</f>
        <v>27.93108538657604</v>
      </c>
    </row>
    <row r="20" spans="1:48" ht="19" customHeight="1" x14ac:dyDescent="0.25">
      <c r="A20" s="14" t="s">
        <v>100</v>
      </c>
      <c r="B20" s="1"/>
      <c r="C20" s="15">
        <f>(C19/B19)-1</f>
        <v>1.2305315203955502</v>
      </c>
      <c r="D20" s="15">
        <f>(D19/C19)-1</f>
        <v>0.33250207813798838</v>
      </c>
      <c r="E20" s="15">
        <f>(E19/D19)-1</f>
        <v>0.52609690164275325</v>
      </c>
      <c r="F20" s="15">
        <f t="shared" ref="F20:AR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N20" s="16">
        <f t="shared" si="3"/>
        <v>-5.8871246375940767E-2</v>
      </c>
      <c r="AO20" s="16">
        <f t="shared" si="3"/>
        <v>6.7837190742218612E-2</v>
      </c>
      <c r="AP20" s="16">
        <f t="shared" si="3"/>
        <v>9.0433482810164501E-2</v>
      </c>
      <c r="AQ20" s="16">
        <f t="shared" si="3"/>
        <v>6.991089787525695E-2</v>
      </c>
      <c r="AR20" s="16">
        <f t="shared" si="3"/>
        <v>9.4811018577834805E-2</v>
      </c>
    </row>
    <row r="21" spans="1:48" ht="20"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c r="AN21" s="32">
        <f>AN19/AN3</f>
        <v>0.32715404699738904</v>
      </c>
      <c r="AO21" s="32">
        <f t="shared" ref="AO21:AR21" si="4">AO19/AO3</f>
        <v>0.32947549864565379</v>
      </c>
      <c r="AP21" s="32">
        <f t="shared" si="4"/>
        <v>0.33946021405304794</v>
      </c>
      <c r="AQ21" s="32">
        <f t="shared" si="4"/>
        <v>0.3213918056413424</v>
      </c>
      <c r="AR21" s="32">
        <f t="shared" si="4"/>
        <v>0.32447313461173344</v>
      </c>
      <c r="AT21" s="45" t="s">
        <v>166</v>
      </c>
      <c r="AU21" s="18" t="s">
        <v>160</v>
      </c>
      <c r="AV21" s="19" t="s">
        <v>167</v>
      </c>
    </row>
    <row r="22" spans="1:48"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c r="AT22" s="17">
        <f>SUM(AN29:AR29)/4</f>
        <v>7.2733906431089262E-2</v>
      </c>
      <c r="AU22" s="36">
        <f>(-1*AM98)/AU102</f>
        <v>5.6429850900630461E-3</v>
      </c>
      <c r="AV22" s="30">
        <f>AN107/AU102</f>
        <v>3.5802403886553223E-2</v>
      </c>
    </row>
    <row r="23" spans="1:48"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8"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8"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8"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8"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91</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8"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c r="AN28" s="33">
        <v>95970000000</v>
      </c>
      <c r="AO28" s="33">
        <v>100700000000</v>
      </c>
      <c r="AP28" s="33">
        <v>108700000000</v>
      </c>
      <c r="AQ28" s="33">
        <v>119700000000</v>
      </c>
      <c r="AR28" s="33">
        <v>131600000000</v>
      </c>
    </row>
    <row r="29" spans="1:48" ht="20" customHeight="1" thickTop="1" x14ac:dyDescent="0.25">
      <c r="A29" s="14" t="s">
        <v>101</v>
      </c>
      <c r="B29" s="1"/>
      <c r="C29" s="15">
        <f>(C28/B28)-1</f>
        <v>1.5163398692810457</v>
      </c>
      <c r="D29" s="15">
        <f>(D28/C28)-1</f>
        <v>0.41233766233766245</v>
      </c>
      <c r="E29" s="15">
        <f>(E28/D28)-1</f>
        <v>0.84045977011494255</v>
      </c>
      <c r="F29" s="15">
        <f t="shared" ref="F29:AR29" si="5">(F28/E28)-1</f>
        <v>0.13414938795903075</v>
      </c>
      <c r="G29" s="15">
        <f t="shared" si="5"/>
        <v>4.6035242290748846E-2</v>
      </c>
      <c r="H29" s="15">
        <f t="shared" si="5"/>
        <v>-0.34765213729206146</v>
      </c>
      <c r="I29" s="15">
        <f t="shared" si="5"/>
        <v>0.71207230471271798</v>
      </c>
      <c r="J29" s="15">
        <f t="shared" si="5"/>
        <v>-0.8367269984917044</v>
      </c>
      <c r="K29" s="15">
        <f t="shared" si="5"/>
        <v>2.5817321016166281</v>
      </c>
      <c r="L29" s="15">
        <f t="shared" si="5"/>
        <v>0.36695703757197484</v>
      </c>
      <c r="M29" s="15">
        <f t="shared" si="5"/>
        <v>-2.9245283018867925</v>
      </c>
      <c r="N29" s="15">
        <f t="shared" si="5"/>
        <v>0.28063725490196068</v>
      </c>
      <c r="O29" s="15">
        <f t="shared" si="5"/>
        <v>-1.2956937799043062</v>
      </c>
      <c r="P29" s="15">
        <f t="shared" si="5"/>
        <v>0.94498381877022664</v>
      </c>
      <c r="Q29" s="15">
        <f t="shared" si="5"/>
        <v>0.3078202995008319</v>
      </c>
      <c r="R29" s="15">
        <f t="shared" si="5"/>
        <v>-1.0318066157760815</v>
      </c>
      <c r="S29" s="15">
        <f t="shared" si="5"/>
        <v>-3.6</v>
      </c>
      <c r="T29" s="15">
        <f t="shared" si="5"/>
        <v>6.1538461538461542E-2</v>
      </c>
      <c r="U29" s="15">
        <f t="shared" si="5"/>
        <v>3</v>
      </c>
      <c r="V29" s="15">
        <f t="shared" si="5"/>
        <v>3.8369565217391308</v>
      </c>
      <c r="W29" s="15">
        <f t="shared" si="5"/>
        <v>0.48988764044943811</v>
      </c>
      <c r="X29" s="15">
        <f t="shared" si="5"/>
        <v>0.75766716943187529</v>
      </c>
      <c r="Y29" s="15">
        <f t="shared" si="5"/>
        <v>0.38272311212814647</v>
      </c>
      <c r="Z29" s="15">
        <f t="shared" si="5"/>
        <v>0.17997517583781542</v>
      </c>
      <c r="AA29" s="15">
        <f t="shared" si="5"/>
        <v>1.456697054698457</v>
      </c>
      <c r="AB29" s="15">
        <f t="shared" si="5"/>
        <v>0.84985370727181908</v>
      </c>
      <c r="AC29" s="15">
        <f t="shared" si="5"/>
        <v>0.60994522027621323</v>
      </c>
      <c r="AD29" s="15">
        <f t="shared" si="5"/>
        <v>-0.11252486042220788</v>
      </c>
      <c r="AE29" s="15">
        <f t="shared" si="5"/>
        <v>6.6771066771066812E-2</v>
      </c>
      <c r="AF29" s="15">
        <f t="shared" si="5"/>
        <v>0.3514047076689446</v>
      </c>
      <c r="AG29" s="15">
        <f t="shared" si="5"/>
        <v>-0.14434206090571977</v>
      </c>
      <c r="AH29" s="15">
        <f t="shared" si="5"/>
        <v>5.830980366406191E-2</v>
      </c>
      <c r="AI29" s="15">
        <f t="shared" si="5"/>
        <v>0.23122582780087275</v>
      </c>
      <c r="AJ29" s="15">
        <f t="shared" si="5"/>
        <v>-7.1811325191916797E-2</v>
      </c>
      <c r="AK29" s="15">
        <f t="shared" si="5"/>
        <v>3.9000289561314627E-2</v>
      </c>
      <c r="AL29" s="15">
        <f t="shared" si="5"/>
        <v>0.64916131055024295</v>
      </c>
      <c r="AM29" s="15">
        <f t="shared" si="5"/>
        <v>5.410857625686516E-2</v>
      </c>
      <c r="AN29" s="16">
        <f t="shared" si="5"/>
        <v>-3.8405659148522564E-2</v>
      </c>
      <c r="AO29" s="16">
        <f t="shared" si="5"/>
        <v>4.9286235281858826E-2</v>
      </c>
      <c r="AP29" s="16">
        <f t="shared" si="5"/>
        <v>7.9443892750744816E-2</v>
      </c>
      <c r="AQ29" s="16">
        <f t="shared" si="5"/>
        <v>0.10119595216191346</v>
      </c>
      <c r="AR29" s="16">
        <f t="shared" si="5"/>
        <v>9.9415204678362512E-2</v>
      </c>
      <c r="AU29" s="15"/>
    </row>
    <row r="30" spans="1:48"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c r="AN30" s="34">
        <f>AN28/AN3</f>
        <v>0.25057441253263707</v>
      </c>
      <c r="AO30" s="34">
        <f t="shared" ref="AO30:AR30" si="6">AO28/AO3</f>
        <v>0.24796848066978577</v>
      </c>
      <c r="AP30" s="34">
        <f t="shared" si="6"/>
        <v>0.25290832945556074</v>
      </c>
      <c r="AQ30" s="34">
        <f t="shared" si="6"/>
        <v>0.24644842495367511</v>
      </c>
      <c r="AR30" s="34">
        <f t="shared" si="6"/>
        <v>0.24985760394911716</v>
      </c>
    </row>
    <row r="31" spans="1:48" ht="19" x14ac:dyDescent="0.25">
      <c r="A31" s="5" t="s">
        <v>24</v>
      </c>
      <c r="B31" s="12" t="s">
        <v>90</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90</v>
      </c>
      <c r="S31" s="12" t="s">
        <v>90</v>
      </c>
      <c r="T31" s="12" t="s">
        <v>90</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c r="AN31" s="35">
        <v>6.12</v>
      </c>
      <c r="AO31" s="35">
        <v>6.44</v>
      </c>
      <c r="AP31" s="35">
        <v>6.96</v>
      </c>
      <c r="AQ31" s="35">
        <v>7.66</v>
      </c>
      <c r="AR31" s="35">
        <v>8.42</v>
      </c>
    </row>
    <row r="32" spans="1:48" ht="19" x14ac:dyDescent="0.25">
      <c r="A32" s="5" t="s">
        <v>25</v>
      </c>
      <c r="B32" s="12" t="s">
        <v>90</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90</v>
      </c>
      <c r="S32" s="12" t="s">
        <v>90</v>
      </c>
      <c r="T32" s="12" t="s">
        <v>90</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102</v>
      </c>
      <c r="B35" s="1"/>
      <c r="C35" s="22">
        <f>(C34-B34)/B34</f>
        <v>4.8474945509453783E-2</v>
      </c>
      <c r="D35" s="22">
        <f t="shared" ref="D35:AM35" si="7">(D34-C34)/C34</f>
        <v>2.0966984833510366E-2</v>
      </c>
      <c r="E35" s="22">
        <f t="shared" si="7"/>
        <v>-8.0638901454195052E-3</v>
      </c>
      <c r="F35" s="22">
        <f t="shared" si="7"/>
        <v>-1.3225956208174518E-2</v>
      </c>
      <c r="G35" s="22">
        <f t="shared" si="7"/>
        <v>-2.0379693741611832E-2</v>
      </c>
      <c r="H35" s="22">
        <f t="shared" si="7"/>
        <v>-4.423452669017873E-2</v>
      </c>
      <c r="I35" s="22">
        <f t="shared" si="7"/>
        <v>1.7775701809318936E-2</v>
      </c>
      <c r="J35" s="22">
        <f t="shared" si="7"/>
        <v>-4.2425910041092543E-2</v>
      </c>
      <c r="K35" s="22">
        <f t="shared" si="7"/>
        <v>1.5235565821954873E-2</v>
      </c>
      <c r="L35" s="22">
        <f t="shared" si="7"/>
        <v>3.5661981314704147E-2</v>
      </c>
      <c r="M35" s="22">
        <f t="shared" si="7"/>
        <v>5.5832324233829351E-3</v>
      </c>
      <c r="N35" s="22">
        <f t="shared" si="7"/>
        <v>1.8814553800895469E-2</v>
      </c>
      <c r="O35" s="22">
        <f t="shared" si="7"/>
        <v>0.33201916517269281</v>
      </c>
      <c r="P35" s="22">
        <f t="shared" si="7"/>
        <v>3.7202903815575554E-2</v>
      </c>
      <c r="Q35" s="22">
        <f t="shared" si="7"/>
        <v>3.4438804804666864E-2</v>
      </c>
      <c r="R35" s="22">
        <f t="shared" si="7"/>
        <v>-4.0827144458875898E-2</v>
      </c>
      <c r="S35" s="22">
        <f t="shared" si="7"/>
        <v>4.6792221357414218E-2</v>
      </c>
      <c r="T35" s="22">
        <f t="shared" si="7"/>
        <v>4.6464060146219439E-3</v>
      </c>
      <c r="U35" s="22">
        <f t="shared" si="7"/>
        <v>6.5604485701551182E-2</v>
      </c>
      <c r="V35" s="22">
        <f t="shared" si="7"/>
        <v>0.10606205349189669</v>
      </c>
      <c r="W35" s="22">
        <f t="shared" si="7"/>
        <v>2.4213917224958567E-2</v>
      </c>
      <c r="X35" s="22">
        <f t="shared" si="7"/>
        <v>1.3408149730036489E-2</v>
      </c>
      <c r="Y35" s="22">
        <f t="shared" si="7"/>
        <v>1.4446323592250914E-2</v>
      </c>
      <c r="Z35" s="22">
        <f t="shared" si="7"/>
        <v>5.3938472896083644E-3</v>
      </c>
      <c r="AA35" s="22">
        <f t="shared" si="7"/>
        <v>1.9522494363316632E-2</v>
      </c>
      <c r="AB35" s="22">
        <f t="shared" si="7"/>
        <v>1.2904558392234556E-2</v>
      </c>
      <c r="AC35" s="22">
        <f t="shared" si="7"/>
        <v>9.2991474891767952E-3</v>
      </c>
      <c r="AD35" s="22">
        <f t="shared" si="7"/>
        <v>-1.4484505820564762E-2</v>
      </c>
      <c r="AE35" s="22">
        <f t="shared" si="7"/>
        <v>-6.1176539499150057E-2</v>
      </c>
      <c r="AF35" s="22">
        <f t="shared" si="7"/>
        <v>-5.3831804886207195E-2</v>
      </c>
      <c r="AG35" s="22">
        <f t="shared" si="7"/>
        <v>-5.0541086253245042E-2</v>
      </c>
      <c r="AH35" s="22">
        <f t="shared" si="7"/>
        <v>-4.519569091106436E-2</v>
      </c>
      <c r="AI35" s="22">
        <f t="shared" si="7"/>
        <v>-4.7905132288793784E-2</v>
      </c>
      <c r="AJ35" s="22">
        <f t="shared" si="7"/>
        <v>-7.0237668818819751E-2</v>
      </c>
      <c r="AK35" s="22">
        <f t="shared" si="7"/>
        <v>-5.7402558404513054E-2</v>
      </c>
      <c r="AL35" s="22">
        <f t="shared" si="7"/>
        <v>-3.7841562180835994E-2</v>
      </c>
      <c r="AM35" s="22">
        <f t="shared" si="7"/>
        <v>-3.1965762776565959E-2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91</v>
      </c>
      <c r="C39" s="1" t="s">
        <v>91</v>
      </c>
      <c r="D39" s="1" t="s">
        <v>91</v>
      </c>
      <c r="E39" s="1" t="s">
        <v>91</v>
      </c>
      <c r="F39" s="1" t="s">
        <v>91</v>
      </c>
      <c r="G39" s="1" t="s">
        <v>91</v>
      </c>
      <c r="H39" s="1" t="s">
        <v>91</v>
      </c>
      <c r="I39" s="1" t="s">
        <v>91</v>
      </c>
      <c r="J39" s="1" t="s">
        <v>91</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91</v>
      </c>
      <c r="AJ46" s="1" t="s">
        <v>91</v>
      </c>
      <c r="AK46" s="1" t="s">
        <v>91</v>
      </c>
      <c r="AL46" s="1" t="s">
        <v>91</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91</v>
      </c>
      <c r="AJ47" s="1" t="s">
        <v>91</v>
      </c>
      <c r="AK47" s="1" t="s">
        <v>91</v>
      </c>
      <c r="AL47" s="1" t="s">
        <v>91</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91</v>
      </c>
      <c r="AJ48" s="1" t="s">
        <v>91</v>
      </c>
      <c r="AK48" s="1" t="s">
        <v>91</v>
      </c>
      <c r="AL48" s="1" t="s">
        <v>91</v>
      </c>
      <c r="AM48" s="1" t="s">
        <v>91</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339000000</v>
      </c>
      <c r="Q49" s="1" t="s">
        <v>91</v>
      </c>
      <c r="R49" s="1">
        <v>128000000</v>
      </c>
      <c r="S49" s="1">
        <v>39000000</v>
      </c>
      <c r="T49" s="1">
        <v>5000000</v>
      </c>
      <c r="U49" s="1" t="s">
        <v>91</v>
      </c>
      <c r="V49" s="1" t="s">
        <v>91</v>
      </c>
      <c r="W49" s="1" t="s">
        <v>91</v>
      </c>
      <c r="X49" s="1" t="s">
        <v>91</v>
      </c>
      <c r="Y49" s="1" t="s">
        <v>91</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702000000</v>
      </c>
      <c r="M50" s="1">
        <v>354000000</v>
      </c>
      <c r="N50" s="1">
        <v>264000000</v>
      </c>
      <c r="O50" s="1">
        <v>173000000</v>
      </c>
      <c r="P50" s="1">
        <v>208000000</v>
      </c>
      <c r="Q50" s="1" t="s">
        <v>91</v>
      </c>
      <c r="R50" s="1">
        <v>266000000</v>
      </c>
      <c r="S50" s="1">
        <v>229000000</v>
      </c>
      <c r="T50" s="1">
        <v>60000000</v>
      </c>
      <c r="U50" s="1">
        <v>86000000</v>
      </c>
      <c r="V50" s="1">
        <v>183000000</v>
      </c>
      <c r="W50" s="1" t="s">
        <v>91</v>
      </c>
      <c r="X50" s="1">
        <v>88000000</v>
      </c>
      <c r="Y50" s="1">
        <v>138000000</v>
      </c>
      <c r="Z50" s="1">
        <v>259000000</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91</v>
      </c>
      <c r="C55" s="1" t="s">
        <v>91</v>
      </c>
      <c r="D55" s="1" t="s">
        <v>91</v>
      </c>
      <c r="E55" s="1" t="s">
        <v>91</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91</v>
      </c>
      <c r="C56" s="1" t="s">
        <v>91</v>
      </c>
      <c r="D56" s="1" t="s">
        <v>91</v>
      </c>
      <c r="E56" s="1">
        <v>127900000</v>
      </c>
      <c r="F56" s="1">
        <v>56800000</v>
      </c>
      <c r="G56" s="1">
        <v>122600000</v>
      </c>
      <c r="H56" s="1">
        <v>148600000</v>
      </c>
      <c r="I56" s="1">
        <v>184500000</v>
      </c>
      <c r="J56" s="1">
        <v>823200000</v>
      </c>
      <c r="K56" s="1">
        <v>292200000</v>
      </c>
      <c r="L56" s="1">
        <v>461000000</v>
      </c>
      <c r="M56" s="1">
        <v>186000000</v>
      </c>
      <c r="N56" s="1">
        <v>25000000</v>
      </c>
      <c r="O56" s="1" t="s">
        <v>91</v>
      </c>
      <c r="P56" s="1" t="s">
        <v>91</v>
      </c>
      <c r="Q56" s="1" t="s">
        <v>91</v>
      </c>
      <c r="R56" s="1" t="s">
        <v>91</v>
      </c>
      <c r="S56" s="1" t="s">
        <v>91</v>
      </c>
      <c r="T56" s="1">
        <v>304000000</v>
      </c>
      <c r="U56" s="1" t="s">
        <v>91</v>
      </c>
      <c r="V56" s="1" t="s">
        <v>91</v>
      </c>
      <c r="W56" s="1" t="s">
        <v>91</v>
      </c>
      <c r="X56" s="1" t="s">
        <v>91</v>
      </c>
      <c r="Y56" s="1" t="s">
        <v>91</v>
      </c>
      <c r="Z56" s="1" t="s">
        <v>91</v>
      </c>
      <c r="AA56" s="1" t="s">
        <v>91</v>
      </c>
      <c r="AB56" s="1" t="s">
        <v>91</v>
      </c>
      <c r="AC56" s="1" t="s">
        <v>91</v>
      </c>
      <c r="AD56" s="1" t="s">
        <v>91</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v>388000000</v>
      </c>
      <c r="X57" s="1">
        <v>488000000</v>
      </c>
      <c r="Y57" s="1">
        <v>100000000</v>
      </c>
      <c r="Z57" s="1">
        <v>439000000</v>
      </c>
      <c r="AA57" s="1">
        <v>210000000</v>
      </c>
      <c r="AB57" s="1">
        <v>1140000000</v>
      </c>
      <c r="AC57" s="1">
        <v>1535000000</v>
      </c>
      <c r="AD57" s="1">
        <v>1200000000</v>
      </c>
      <c r="AE57" s="1">
        <v>1209000000</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91</v>
      </c>
      <c r="C61" s="1" t="s">
        <v>91</v>
      </c>
      <c r="D61" s="1" t="s">
        <v>91</v>
      </c>
      <c r="E61" s="1" t="s">
        <v>91</v>
      </c>
      <c r="F61" s="1" t="s">
        <v>91</v>
      </c>
      <c r="G61" s="1" t="s">
        <v>91</v>
      </c>
      <c r="H61" s="1" t="s">
        <v>91</v>
      </c>
      <c r="I61" s="1" t="s">
        <v>91</v>
      </c>
      <c r="J61" s="1" t="s">
        <v>91</v>
      </c>
      <c r="K61" s="1">
        <v>304000000</v>
      </c>
      <c r="L61" s="1">
        <v>303000000</v>
      </c>
      <c r="M61" s="1">
        <v>949000000</v>
      </c>
      <c r="N61" s="1">
        <v>951000000</v>
      </c>
      <c r="O61" s="1">
        <v>954000000</v>
      </c>
      <c r="P61" s="1">
        <v>300000000</v>
      </c>
      <c r="Q61" s="1">
        <v>300000000</v>
      </c>
      <c r="R61" s="1">
        <v>317000000</v>
      </c>
      <c r="S61" s="1">
        <v>316000000</v>
      </c>
      <c r="T61" s="1" t="s">
        <v>91</v>
      </c>
      <c r="U61" s="1" t="s">
        <v>91</v>
      </c>
      <c r="V61" s="1" t="s">
        <v>91</v>
      </c>
      <c r="W61" s="1" t="s">
        <v>91</v>
      </c>
      <c r="X61" s="1" t="s">
        <v>91</v>
      </c>
      <c r="Y61" s="1" t="s">
        <v>91</v>
      </c>
      <c r="Z61" s="1" t="s">
        <v>91</v>
      </c>
      <c r="AA61" s="1" t="s">
        <v>91</v>
      </c>
      <c r="AB61" s="1" t="s">
        <v>91</v>
      </c>
      <c r="AC61" s="1" t="s">
        <v>91</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91</v>
      </c>
      <c r="AK62" s="1" t="s">
        <v>91</v>
      </c>
      <c r="AL62" s="1" t="s">
        <v>91</v>
      </c>
      <c r="AM62" s="1" t="s">
        <v>91</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91</v>
      </c>
      <c r="M63" s="1" t="s">
        <v>91</v>
      </c>
      <c r="N63" s="1" t="s">
        <v>91</v>
      </c>
      <c r="O63" s="1" t="s">
        <v>91</v>
      </c>
      <c r="P63" s="1" t="s">
        <v>91</v>
      </c>
      <c r="Q63" s="1">
        <v>463000000</v>
      </c>
      <c r="R63" s="1" t="s">
        <v>91</v>
      </c>
      <c r="S63" s="1" t="s">
        <v>91</v>
      </c>
      <c r="T63" s="1">
        <v>235000000</v>
      </c>
      <c r="U63" s="1">
        <v>294000000</v>
      </c>
      <c r="V63" s="1">
        <v>308000000</v>
      </c>
      <c r="W63" s="1">
        <v>381000000</v>
      </c>
      <c r="X63" s="1">
        <v>619000000</v>
      </c>
      <c r="Y63" s="1">
        <v>675000000</v>
      </c>
      <c r="Z63" s="1">
        <v>966000000</v>
      </c>
      <c r="AA63" s="1" t="s">
        <v>91</v>
      </c>
      <c r="AB63" s="1">
        <v>8159000000</v>
      </c>
      <c r="AC63" s="1">
        <v>13847000000</v>
      </c>
      <c r="AD63" s="1">
        <v>16489000000</v>
      </c>
      <c r="AE63" s="1">
        <v>20259000000</v>
      </c>
      <c r="AF63" s="1">
        <v>24062000000</v>
      </c>
      <c r="AG63" s="1">
        <v>26019000000</v>
      </c>
      <c r="AH63" s="1">
        <v>31504000000</v>
      </c>
      <c r="AI63" s="1">
        <v>426000000</v>
      </c>
      <c r="AJ63" s="1" t="s">
        <v>91</v>
      </c>
      <c r="AK63" s="1" t="s">
        <v>91</v>
      </c>
      <c r="AL63" s="1" t="s">
        <v>91</v>
      </c>
      <c r="AM63" s="1" t="s">
        <v>91</v>
      </c>
    </row>
    <row r="64" spans="1:39" ht="19" x14ac:dyDescent="0.25">
      <c r="A64" s="5" t="s">
        <v>55</v>
      </c>
      <c r="B64" s="1" t="s">
        <v>91</v>
      </c>
      <c r="C64" s="1" t="s">
        <v>91</v>
      </c>
      <c r="D64" s="1">
        <v>-100000</v>
      </c>
      <c r="E64" s="1" t="s">
        <v>91</v>
      </c>
      <c r="F64" s="1" t="s">
        <v>91</v>
      </c>
      <c r="G64" s="1">
        <v>100000</v>
      </c>
      <c r="H64" s="1">
        <v>-100000</v>
      </c>
      <c r="I64" s="1" t="s">
        <v>91</v>
      </c>
      <c r="J64" s="1" t="s">
        <v>91</v>
      </c>
      <c r="K64" s="1">
        <v>472000</v>
      </c>
      <c r="L64" s="1">
        <v>702000000</v>
      </c>
      <c r="M64" s="1">
        <v>354000000</v>
      </c>
      <c r="N64" s="1">
        <v>264000000</v>
      </c>
      <c r="O64" s="1">
        <v>173000000</v>
      </c>
      <c r="P64" s="1">
        <v>208000000</v>
      </c>
      <c r="Q64" s="1" t="s">
        <v>91</v>
      </c>
      <c r="R64" s="1">
        <v>266000000</v>
      </c>
      <c r="S64" s="1">
        <v>229000000</v>
      </c>
      <c r="T64" s="1" t="s">
        <v>91</v>
      </c>
      <c r="U64" s="1" t="s">
        <v>91</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91</v>
      </c>
      <c r="C68" s="1" t="s">
        <v>91</v>
      </c>
      <c r="D68" s="1" t="s">
        <v>91</v>
      </c>
      <c r="E68" s="1" t="s">
        <v>91</v>
      </c>
      <c r="F68" s="1" t="s">
        <v>91</v>
      </c>
      <c r="G68" s="1" t="s">
        <v>91</v>
      </c>
      <c r="H68" s="1" t="s">
        <v>91</v>
      </c>
      <c r="I68" s="1" t="s">
        <v>91</v>
      </c>
      <c r="J68" s="1" t="s">
        <v>91</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91</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91</v>
      </c>
      <c r="S71" s="1" t="s">
        <v>91</v>
      </c>
      <c r="T71" s="1">
        <v>-62000000</v>
      </c>
      <c r="U71" s="1">
        <v>-93000000</v>
      </c>
      <c r="V71" s="1">
        <v>-60000000</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91</v>
      </c>
      <c r="C77" s="1" t="s">
        <v>91</v>
      </c>
      <c r="D77" s="1" t="s">
        <v>91</v>
      </c>
      <c r="E77" s="1" t="s">
        <v>91</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91</v>
      </c>
      <c r="C78" s="1" t="s">
        <v>91</v>
      </c>
      <c r="D78" s="1" t="s">
        <v>91</v>
      </c>
      <c r="E78" s="1" t="s">
        <v>91</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f t="shared" si="8"/>
        <v>2.5777348155308524E-3</v>
      </c>
      <c r="U80" s="15">
        <f t="shared" si="8"/>
        <v>3.9859886459717355E-3</v>
      </c>
      <c r="V80" s="15">
        <f t="shared" si="8"/>
        <v>3.0148589476706625E-3</v>
      </c>
      <c r="W80" s="15">
        <f t="shared" si="8"/>
        <v>8.4390370178617658E-3</v>
      </c>
      <c r="X80" s="15">
        <f t="shared" si="8"/>
        <v>1.008081313005082E-2</v>
      </c>
      <c r="Y80" s="15">
        <f t="shared" si="8"/>
        <v>1.5887188644970598E-2</v>
      </c>
      <c r="Z80" s="15">
        <f t="shared" si="8"/>
        <v>1.9432356241618085E-2</v>
      </c>
      <c r="AA80" s="15">
        <f t="shared" si="8"/>
        <v>1.3476427750095821E-2</v>
      </c>
      <c r="AB80" s="15">
        <f t="shared" si="8"/>
        <v>1.0789938013284187E-2</v>
      </c>
      <c r="AC80" s="15">
        <f t="shared" si="8"/>
        <v>1.1117642548623713E-2</v>
      </c>
      <c r="AD80" s="15">
        <f t="shared" si="8"/>
        <v>1.3182376689485695E-2</v>
      </c>
      <c r="AE80" s="15">
        <f t="shared" si="8"/>
        <v>1.5662354003118249E-2</v>
      </c>
      <c r="AF80" s="15">
        <f t="shared" si="8"/>
        <v>1.5343473889138481E-2</v>
      </c>
      <c r="AG80" s="15">
        <f t="shared" si="8"/>
        <v>1.9523370076841389E-2</v>
      </c>
      <c r="AH80" s="15">
        <f t="shared" si="8"/>
        <v>2.1113796382735545E-2</v>
      </c>
      <c r="AI80" s="15">
        <f t="shared" si="8"/>
        <v>2.0105800184491426E-2</v>
      </c>
      <c r="AJ80" s="15">
        <f t="shared" si="8"/>
        <v>2.3322853167495598E-2</v>
      </c>
      <c r="AK80" s="15">
        <f t="shared" si="8"/>
        <v>2.4876600550061016E-2</v>
      </c>
      <c r="AL80" s="15">
        <f t="shared" si="8"/>
        <v>2.1611898845597662E-2</v>
      </c>
      <c r="AM80" s="15">
        <f t="shared" si="8"/>
        <v>2.2920005680550203E-2</v>
      </c>
    </row>
    <row r="81" spans="1:47" ht="19" x14ac:dyDescent="0.25">
      <c r="A81" s="5" t="s">
        <v>69</v>
      </c>
      <c r="B81" s="1" t="s">
        <v>91</v>
      </c>
      <c r="C81" s="1" t="s">
        <v>91</v>
      </c>
      <c r="D81" s="1" t="s">
        <v>91</v>
      </c>
      <c r="E81" s="1" t="s">
        <v>91</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91</v>
      </c>
      <c r="C82" s="1" t="s">
        <v>91</v>
      </c>
      <c r="D82" s="1" t="s">
        <v>91</v>
      </c>
      <c r="E82" s="1" t="s">
        <v>91</v>
      </c>
      <c r="F82" s="1" t="s">
        <v>91</v>
      </c>
      <c r="G82" s="1" t="s">
        <v>91</v>
      </c>
      <c r="H82" s="1" t="s">
        <v>91</v>
      </c>
      <c r="I82" s="1" t="s">
        <v>91</v>
      </c>
      <c r="J82" s="1" t="s">
        <v>91</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19" x14ac:dyDescent="0.25">
      <c r="A83" s="5" t="s">
        <v>34</v>
      </c>
      <c r="B83" s="1" t="s">
        <v>91</v>
      </c>
      <c r="C83" s="1" t="s">
        <v>91</v>
      </c>
      <c r="D83" s="1" t="s">
        <v>91</v>
      </c>
      <c r="E83" s="1" t="s">
        <v>91</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row>
    <row r="84" spans="1:47" ht="19" customHeight="1" x14ac:dyDescent="0.25">
      <c r="A84" s="5" t="s">
        <v>47</v>
      </c>
      <c r="B84" s="1" t="s">
        <v>91</v>
      </c>
      <c r="C84" s="1" t="s">
        <v>91</v>
      </c>
      <c r="D84" s="1" t="s">
        <v>91</v>
      </c>
      <c r="E84" s="1" t="s">
        <v>91</v>
      </c>
      <c r="F84" s="1" t="s">
        <v>91</v>
      </c>
      <c r="G84" s="1" t="s">
        <v>91</v>
      </c>
      <c r="H84" s="1" t="s">
        <v>91</v>
      </c>
      <c r="I84" s="1" t="s">
        <v>91</v>
      </c>
      <c r="J84" s="1" t="s">
        <v>91</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N84" s="51"/>
      <c r="AO84" s="51"/>
      <c r="AP84" s="51"/>
      <c r="AQ84" s="51"/>
      <c r="AR84" s="51"/>
      <c r="AS84" s="51"/>
      <c r="AT84" s="71" t="s">
        <v>120</v>
      </c>
      <c r="AU84" s="72"/>
    </row>
    <row r="85" spans="1:47" ht="20" customHeight="1" x14ac:dyDescent="0.25">
      <c r="A85" s="5" t="s">
        <v>71</v>
      </c>
      <c r="B85" s="1" t="s">
        <v>91</v>
      </c>
      <c r="C85" s="1" t="s">
        <v>91</v>
      </c>
      <c r="D85" s="1" t="s">
        <v>91</v>
      </c>
      <c r="E85" s="1" t="s">
        <v>91</v>
      </c>
      <c r="F85" s="1" t="s">
        <v>91</v>
      </c>
      <c r="G85" s="1" t="s">
        <v>91</v>
      </c>
      <c r="H85" s="1" t="s">
        <v>91</v>
      </c>
      <c r="I85" s="1" t="s">
        <v>91</v>
      </c>
      <c r="J85" s="1" t="s">
        <v>91</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N85" s="51"/>
      <c r="AO85" s="51"/>
      <c r="AP85" s="51"/>
      <c r="AQ85" s="51"/>
      <c r="AR85" s="51"/>
      <c r="AS85" s="51"/>
      <c r="AT85" s="73" t="s">
        <v>121</v>
      </c>
      <c r="AU85" s="73"/>
    </row>
    <row r="86" spans="1:47" ht="20" x14ac:dyDescent="0.25">
      <c r="A86" s="5" t="s">
        <v>72</v>
      </c>
      <c r="B86" s="1" t="s">
        <v>91</v>
      </c>
      <c r="C86" s="1" t="s">
        <v>91</v>
      </c>
      <c r="D86" s="1" t="s">
        <v>91</v>
      </c>
      <c r="E86" s="1" t="s">
        <v>91</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91</v>
      </c>
      <c r="AC86" s="1" t="s">
        <v>91</v>
      </c>
      <c r="AD86" s="1" t="s">
        <v>91</v>
      </c>
      <c r="AE86" s="1" t="s">
        <v>91</v>
      </c>
      <c r="AF86" s="1" t="s">
        <v>91</v>
      </c>
      <c r="AG86" s="1" t="s">
        <v>91</v>
      </c>
      <c r="AH86" s="1">
        <v>-166000000</v>
      </c>
      <c r="AI86" s="1">
        <v>-444000000</v>
      </c>
      <c r="AJ86" s="1">
        <v>-652000000</v>
      </c>
      <c r="AK86" s="1">
        <v>-97000000</v>
      </c>
      <c r="AL86" s="1">
        <v>-147000000</v>
      </c>
      <c r="AM86" s="1">
        <v>111000000</v>
      </c>
      <c r="AN86" s="51"/>
      <c r="AO86" s="51"/>
      <c r="AP86" s="51"/>
      <c r="AQ86" s="51"/>
      <c r="AR86" s="51"/>
      <c r="AS86" s="51"/>
      <c r="AT86" s="38" t="s">
        <v>122</v>
      </c>
      <c r="AU86" s="52">
        <f>AM17</f>
        <v>2931000000</v>
      </c>
    </row>
    <row r="87" spans="1:47" ht="20" x14ac:dyDescent="0.25">
      <c r="A87" s="6" t="s">
        <v>73</v>
      </c>
      <c r="B87" s="10" t="s">
        <v>91</v>
      </c>
      <c r="C87" s="10" t="s">
        <v>91</v>
      </c>
      <c r="D87" s="10" t="s">
        <v>91</v>
      </c>
      <c r="E87" s="10" t="s">
        <v>91</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N87" s="51"/>
      <c r="AO87" s="51"/>
      <c r="AP87" s="51"/>
      <c r="AQ87" s="51"/>
      <c r="AR87" s="51"/>
      <c r="AS87" s="51"/>
      <c r="AT87" s="38" t="s">
        <v>123</v>
      </c>
      <c r="AU87" s="52">
        <f>AM56</f>
        <v>21110000000</v>
      </c>
    </row>
    <row r="88" spans="1:47" ht="20" x14ac:dyDescent="0.25">
      <c r="A88" s="5" t="s">
        <v>74</v>
      </c>
      <c r="B88" s="1" t="s">
        <v>91</v>
      </c>
      <c r="C88" s="1" t="s">
        <v>91</v>
      </c>
      <c r="D88" s="1" t="s">
        <v>91</v>
      </c>
      <c r="E88" s="1" t="s">
        <v>91</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N88" s="51"/>
      <c r="AO88" s="51"/>
      <c r="AP88" s="51"/>
      <c r="AQ88" s="51"/>
      <c r="AR88" s="51"/>
      <c r="AS88" s="51"/>
      <c r="AT88" s="38" t="s">
        <v>124</v>
      </c>
      <c r="AU88" s="52">
        <f>AM61</f>
        <v>98959000000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4.5230885692657076E-2</v>
      </c>
      <c r="G89" s="15">
        <f t="shared" si="9"/>
        <v>4.0353339090385722E-2</v>
      </c>
      <c r="H89" s="15">
        <f t="shared" si="9"/>
        <v>3.4602460055795078E-2</v>
      </c>
      <c r="I89" s="15">
        <f t="shared" si="9"/>
        <v>2.7502998659422847E-2</v>
      </c>
      <c r="J89" s="15">
        <f t="shared" si="9"/>
        <v>2.6714303622915884E-2</v>
      </c>
      <c r="K89" s="15">
        <f t="shared" si="9"/>
        <v>1.7367654439973759E-2</v>
      </c>
      <c r="L89" s="15">
        <f t="shared" si="9"/>
        <v>1.4373531007051165E-2</v>
      </c>
      <c r="M89" s="15">
        <f t="shared" si="9"/>
        <v>6.8137902979762029E-3</v>
      </c>
      <c r="N89" s="15">
        <f t="shared" si="9"/>
        <v>7.484818528456433E-3</v>
      </c>
      <c r="O89" s="15">
        <f t="shared" si="9"/>
        <v>7.74280424171015E-3</v>
      </c>
      <c r="P89" s="15">
        <f t="shared" si="9"/>
        <v>7.6622106292794263E-3</v>
      </c>
      <c r="Q89" s="15">
        <f t="shared" si="9"/>
        <v>1.3403482400100213E-2</v>
      </c>
      <c r="R89" s="15">
        <f t="shared" si="9"/>
        <v>4.3259369755733731E-2</v>
      </c>
      <c r="S89" s="15">
        <f t="shared" si="9"/>
        <v>3.0303030303030304E-2</v>
      </c>
      <c r="T89" s="15">
        <f t="shared" si="9"/>
        <v>2.6421781859191237E-2</v>
      </c>
      <c r="U89" s="15">
        <f t="shared" si="9"/>
        <v>2.1258606111849258E-2</v>
      </c>
      <c r="V89" s="15">
        <f t="shared" si="9"/>
        <v>1.866341253319934E-2</v>
      </c>
      <c r="W89" s="15">
        <f t="shared" si="9"/>
        <v>3.4015014237639141E-2</v>
      </c>
      <c r="X89" s="15">
        <f t="shared" si="9"/>
        <v>3.0617345663584105E-2</v>
      </c>
      <c r="Y89" s="15">
        <f t="shared" si="9"/>
        <v>3.3590935681517289E-2</v>
      </c>
      <c r="Z89" s="15">
        <f t="shared" si="9"/>
        <v>3.1310726113255055E-2</v>
      </c>
      <c r="AA89" s="15">
        <f t="shared" si="9"/>
        <v>3.0739747029513223E-2</v>
      </c>
      <c r="AB89" s="15">
        <f t="shared" si="9"/>
        <v>3.9353712274478286E-2</v>
      </c>
      <c r="AC89" s="15">
        <f t="shared" si="9"/>
        <v>5.3000485598180283E-2</v>
      </c>
      <c r="AD89" s="15">
        <f t="shared" si="9"/>
        <v>4.7773682054882687E-2</v>
      </c>
      <c r="AE89" s="15">
        <f t="shared" si="9"/>
        <v>5.235920019694193E-2</v>
      </c>
      <c r="AF89" s="15">
        <f t="shared" si="9"/>
        <v>4.812271356138887E-2</v>
      </c>
      <c r="AG89" s="15">
        <f t="shared" si="9"/>
        <v>5.9052397757362998E-2</v>
      </c>
      <c r="AH89" s="15">
        <f t="shared" si="9"/>
        <v>5.4315677430049641E-2</v>
      </c>
      <c r="AI89" s="15">
        <f t="shared" si="9"/>
        <v>5.0125190609762983E-2</v>
      </c>
      <c r="AJ89" s="15">
        <f t="shared" si="9"/>
        <v>4.033838892433525E-2</v>
      </c>
      <c r="AK89" s="15">
        <f t="shared" si="9"/>
        <v>2.6625138881299748E-2</v>
      </c>
      <c r="AL89" s="15">
        <f t="shared" si="9"/>
        <v>3.0302036264033657E-2</v>
      </c>
      <c r="AM89" s="15">
        <f t="shared" si="9"/>
        <v>2.7155058732831552E-2</v>
      </c>
      <c r="AN89" s="51"/>
      <c r="AO89" s="51"/>
      <c r="AP89" s="51"/>
      <c r="AQ89" s="51"/>
      <c r="AR89" s="51"/>
      <c r="AS89" s="51"/>
      <c r="AT89" s="39" t="s">
        <v>125</v>
      </c>
      <c r="AU89" s="53">
        <f>AU86/(AU87+AU88)</f>
        <v>2.4410963695874872E-2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-384000000</v>
      </c>
      <c r="O90" s="1">
        <v>24000000</v>
      </c>
      <c r="P90" s="1" t="s">
        <v>91</v>
      </c>
      <c r="Q90" s="1">
        <v>372000000</v>
      </c>
      <c r="R90" s="1">
        <v>340000000</v>
      </c>
      <c r="S90" s="1">
        <v>-27000000</v>
      </c>
      <c r="T90" s="1" t="s">
        <v>91</v>
      </c>
      <c r="U90" s="1" t="s">
        <v>91</v>
      </c>
      <c r="V90" s="1" t="s">
        <v>91</v>
      </c>
      <c r="W90" s="1">
        <v>40000000</v>
      </c>
      <c r="X90" s="1" t="s">
        <v>91</v>
      </c>
      <c r="Y90" s="1">
        <v>-220000000</v>
      </c>
      <c r="Z90" s="1" t="s">
        <v>91</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N90" s="51"/>
      <c r="AO90" s="51"/>
      <c r="AP90" s="51"/>
      <c r="AQ90" s="51"/>
      <c r="AR90" s="51"/>
      <c r="AS90" s="51"/>
      <c r="AT90" s="38" t="s">
        <v>105</v>
      </c>
      <c r="AU90" s="52">
        <f>AM27</f>
        <v>19300000000</v>
      </c>
    </row>
    <row r="91" spans="1:47" ht="20" x14ac:dyDescent="0.25">
      <c r="A91" s="5" t="s">
        <v>76</v>
      </c>
      <c r="B91" s="1" t="s">
        <v>91</v>
      </c>
      <c r="C91" s="1" t="s">
        <v>91</v>
      </c>
      <c r="D91" s="1" t="s">
        <v>91</v>
      </c>
      <c r="E91" s="1" t="s">
        <v>91</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N91" s="51"/>
      <c r="AO91" s="51"/>
      <c r="AP91" s="51"/>
      <c r="AQ91" s="51"/>
      <c r="AR91" s="51"/>
      <c r="AS91" s="51"/>
      <c r="AT91" s="38" t="s">
        <v>19</v>
      </c>
      <c r="AU91" s="52">
        <f>AM25</f>
        <v>119103000000</v>
      </c>
    </row>
    <row r="92" spans="1:47" ht="20" x14ac:dyDescent="0.25">
      <c r="A92" s="5" t="s">
        <v>77</v>
      </c>
      <c r="B92" s="1" t="s">
        <v>91</v>
      </c>
      <c r="C92" s="1" t="s">
        <v>91</v>
      </c>
      <c r="D92" s="1" t="s">
        <v>91</v>
      </c>
      <c r="E92" s="1" t="s">
        <v>91</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N92" s="51"/>
      <c r="AO92" s="51"/>
      <c r="AP92" s="51"/>
      <c r="AQ92" s="51"/>
      <c r="AR92" s="51"/>
      <c r="AS92" s="51"/>
      <c r="AT92" s="39" t="s">
        <v>126</v>
      </c>
      <c r="AU92" s="53">
        <f>AU90/AU91</f>
        <v>0.16204461684424407</v>
      </c>
    </row>
    <row r="93" spans="1:47" ht="19" customHeight="1" x14ac:dyDescent="0.25">
      <c r="A93" s="5" t="s">
        <v>78</v>
      </c>
      <c r="B93" s="1" t="s">
        <v>91</v>
      </c>
      <c r="C93" s="1" t="s">
        <v>91</v>
      </c>
      <c r="D93" s="1" t="s">
        <v>91</v>
      </c>
      <c r="E93" s="1" t="s">
        <v>91</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N93" s="51"/>
      <c r="AO93" s="51"/>
      <c r="AP93" s="51"/>
      <c r="AQ93" s="51"/>
      <c r="AR93" s="51"/>
      <c r="AS93" s="51"/>
      <c r="AT93" s="39" t="s">
        <v>127</v>
      </c>
      <c r="AU93" s="53">
        <f>AU89*(1-AU92)</f>
        <v>2.0455298436978075E-2</v>
      </c>
    </row>
    <row r="94" spans="1:47" ht="20" customHeight="1" x14ac:dyDescent="0.25">
      <c r="A94" s="6" t="s">
        <v>79</v>
      </c>
      <c r="B94" s="10" t="s">
        <v>91</v>
      </c>
      <c r="C94" s="10" t="s">
        <v>91</v>
      </c>
      <c r="D94" s="10" t="s">
        <v>91</v>
      </c>
      <c r="E94" s="10" t="s">
        <v>91</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N94" s="51"/>
      <c r="AO94" s="51"/>
      <c r="AP94" s="51"/>
      <c r="AQ94" s="51"/>
      <c r="AR94" s="51"/>
      <c r="AS94" s="51"/>
      <c r="AT94" s="73" t="s">
        <v>128</v>
      </c>
      <c r="AU94" s="73"/>
    </row>
    <row r="95" spans="1:47" ht="20" x14ac:dyDescent="0.25">
      <c r="A95" s="5" t="s">
        <v>80</v>
      </c>
      <c r="B95" s="1" t="s">
        <v>91</v>
      </c>
      <c r="C95" s="1" t="s">
        <v>91</v>
      </c>
      <c r="D95" s="1" t="s">
        <v>91</v>
      </c>
      <c r="E95" s="1" t="s">
        <v>91</v>
      </c>
      <c r="F95" s="1" t="s">
        <v>91</v>
      </c>
      <c r="G95" s="1" t="s">
        <v>91</v>
      </c>
      <c r="H95" s="1" t="s">
        <v>91</v>
      </c>
      <c r="I95" s="1" t="s">
        <v>91</v>
      </c>
      <c r="J95" s="1" t="s">
        <v>91</v>
      </c>
      <c r="K95" s="1" t="s">
        <v>91</v>
      </c>
      <c r="L95" s="1">
        <v>-2000000</v>
      </c>
      <c r="M95" s="1">
        <v>-275000000</v>
      </c>
      <c r="N95" s="1">
        <v>-161000000</v>
      </c>
      <c r="O95" s="1">
        <v>-25000000</v>
      </c>
      <c r="P95" s="1" t="s">
        <v>91</v>
      </c>
      <c r="Q95" s="1" t="s">
        <v>91</v>
      </c>
      <c r="R95" s="1" t="s">
        <v>91</v>
      </c>
      <c r="S95" s="1" t="s">
        <v>91</v>
      </c>
      <c r="T95" s="1" t="s">
        <v>91</v>
      </c>
      <c r="U95" s="1">
        <v>-300000000</v>
      </c>
      <c r="V95" s="1" t="s">
        <v>91</v>
      </c>
      <c r="W95" s="1" t="s">
        <v>91</v>
      </c>
      <c r="X95" s="1" t="s">
        <v>91</v>
      </c>
      <c r="Y95" s="1" t="s">
        <v>91</v>
      </c>
      <c r="Z95" s="1" t="s">
        <v>91</v>
      </c>
      <c r="AA95" s="1" t="s">
        <v>91</v>
      </c>
      <c r="AB95" s="1" t="s">
        <v>91</v>
      </c>
      <c r="AC95" s="1" t="s">
        <v>91</v>
      </c>
      <c r="AD95" s="1" t="s">
        <v>91</v>
      </c>
      <c r="AE95" s="1" t="s">
        <v>91</v>
      </c>
      <c r="AF95" s="1" t="s">
        <v>91</v>
      </c>
      <c r="AG95" s="1">
        <v>-2500000000</v>
      </c>
      <c r="AH95" s="1">
        <v>-3500000000</v>
      </c>
      <c r="AI95" s="1">
        <v>-6500000000</v>
      </c>
      <c r="AJ95" s="1">
        <v>-8805000000</v>
      </c>
      <c r="AK95" s="1">
        <v>-12629000000</v>
      </c>
      <c r="AL95" s="1">
        <v>-8750000000</v>
      </c>
      <c r="AM95" s="1">
        <v>-9543000000</v>
      </c>
      <c r="AN95" s="51"/>
      <c r="AO95" s="51" t="s">
        <v>165</v>
      </c>
      <c r="AP95" s="51"/>
      <c r="AQ95" s="51"/>
      <c r="AR95" s="51"/>
      <c r="AS95" s="51"/>
      <c r="AT95" s="38" t="s">
        <v>129</v>
      </c>
      <c r="AU95" s="75">
        <f>'[1]US Treasury Bonds'!$C$8</f>
        <v>4.845E-2</v>
      </c>
    </row>
    <row r="96" spans="1:47" ht="20" x14ac:dyDescent="0.25">
      <c r="A96" s="5" t="s">
        <v>81</v>
      </c>
      <c r="B96" s="1" t="s">
        <v>91</v>
      </c>
      <c r="C96" s="1" t="s">
        <v>91</v>
      </c>
      <c r="D96" s="1" t="s">
        <v>91</v>
      </c>
      <c r="E96" s="1" t="s">
        <v>91</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91</v>
      </c>
      <c r="AN96" s="51"/>
      <c r="AO96" s="51"/>
      <c r="AP96" s="51"/>
      <c r="AQ96" s="51"/>
      <c r="AR96" s="51"/>
      <c r="AS96" s="51"/>
      <c r="AT96" s="38" t="s">
        <v>130</v>
      </c>
      <c r="AU96" s="55" cm="1">
        <f t="array" ref="AU96">_FV(A1,"Beta")</f>
        <v>1.3018000000000001</v>
      </c>
    </row>
    <row r="97" spans="1:47" ht="20" x14ac:dyDescent="0.25">
      <c r="A97" s="5" t="s">
        <v>82</v>
      </c>
      <c r="B97" s="1" t="s">
        <v>91</v>
      </c>
      <c r="C97" s="1" t="s">
        <v>91</v>
      </c>
      <c r="D97" s="1" t="s">
        <v>91</v>
      </c>
      <c r="E97" s="1" t="s">
        <v>91</v>
      </c>
      <c r="F97" s="1">
        <v>-12900000</v>
      </c>
      <c r="G97" s="1">
        <v>-569600000</v>
      </c>
      <c r="H97" s="1">
        <v>-184700000</v>
      </c>
      <c r="I97" s="1">
        <v>-212600000</v>
      </c>
      <c r="J97" s="1">
        <v>-273500000</v>
      </c>
      <c r="K97" s="1" t="s">
        <v>91</v>
      </c>
      <c r="L97" s="1" t="s">
        <v>91</v>
      </c>
      <c r="M97" s="1" t="s">
        <v>91</v>
      </c>
      <c r="N97" s="1" t="s">
        <v>91</v>
      </c>
      <c r="O97" s="1" t="s">
        <v>91</v>
      </c>
      <c r="P97" s="1">
        <v>-75000000</v>
      </c>
      <c r="Q97" s="1">
        <v>-116000000</v>
      </c>
      <c r="R97" s="1" t="s">
        <v>91</v>
      </c>
      <c r="S97" s="1" t="s">
        <v>91</v>
      </c>
      <c r="T97" s="1">
        <v>-26000000</v>
      </c>
      <c r="U97" s="1" t="s">
        <v>91</v>
      </c>
      <c r="V97" s="1" t="s">
        <v>91</v>
      </c>
      <c r="W97" s="1">
        <v>-355000000</v>
      </c>
      <c r="X97" s="1">
        <v>-3000000</v>
      </c>
      <c r="Y97" s="1">
        <v>-124000000</v>
      </c>
      <c r="Z97" s="1" t="s">
        <v>91</v>
      </c>
      <c r="AA97" s="1" t="s">
        <v>91</v>
      </c>
      <c r="AB97" s="1" t="s">
        <v>91</v>
      </c>
      <c r="AC97" s="1" t="s">
        <v>91</v>
      </c>
      <c r="AD97" s="1">
        <v>-22860000000</v>
      </c>
      <c r="AE97" s="1">
        <v>-45000000000</v>
      </c>
      <c r="AF97" s="1">
        <v>-35253000000</v>
      </c>
      <c r="AG97" s="1">
        <v>-29722000000</v>
      </c>
      <c r="AH97" s="1">
        <v>-32900000000</v>
      </c>
      <c r="AI97" s="1">
        <v>-72738000000</v>
      </c>
      <c r="AJ97" s="1">
        <v>-66897000000</v>
      </c>
      <c r="AK97" s="1">
        <v>-72358000000</v>
      </c>
      <c r="AL97" s="1">
        <v>-85971000000</v>
      </c>
      <c r="AM97" s="1">
        <v>-89402000000</v>
      </c>
      <c r="AN97" s="51"/>
      <c r="AO97" s="51"/>
      <c r="AP97" s="51"/>
      <c r="AQ97" s="51"/>
      <c r="AR97" s="51"/>
      <c r="AS97" s="51"/>
      <c r="AT97" s="38" t="s">
        <v>131</v>
      </c>
      <c r="AU97" s="54">
        <v>8.4000000000000005E-2</v>
      </c>
    </row>
    <row r="98" spans="1:47" ht="19" customHeight="1" x14ac:dyDescent="0.25">
      <c r="A98" s="5" t="s">
        <v>83</v>
      </c>
      <c r="B98" s="1" t="s">
        <v>91</v>
      </c>
      <c r="C98" s="1" t="s">
        <v>91</v>
      </c>
      <c r="D98" s="1" t="s">
        <v>91</v>
      </c>
      <c r="E98" s="1" t="s">
        <v>91</v>
      </c>
      <c r="F98" s="1">
        <v>-50300000</v>
      </c>
      <c r="G98" s="1">
        <v>-53800000</v>
      </c>
      <c r="H98" s="1">
        <v>-56500000</v>
      </c>
      <c r="I98" s="1">
        <v>-57200000</v>
      </c>
      <c r="J98" s="1">
        <v>-55600000</v>
      </c>
      <c r="K98" s="1">
        <v>-56572000</v>
      </c>
      <c r="L98" s="1">
        <v>-58000000</v>
      </c>
      <c r="M98" s="1">
        <v>-14000000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N98" s="51"/>
      <c r="AO98" s="51"/>
      <c r="AP98" s="51"/>
      <c r="AQ98" s="51"/>
      <c r="AR98" s="51"/>
      <c r="AS98" s="51"/>
      <c r="AT98" s="39" t="s">
        <v>132</v>
      </c>
      <c r="AU98" s="53">
        <f>(AU95)+((AU96)*(AU97-AU95))</f>
        <v>9.4728990000000013E-2</v>
      </c>
    </row>
    <row r="99" spans="1:47" ht="20" customHeight="1" x14ac:dyDescent="0.25">
      <c r="A99" s="5" t="s">
        <v>84</v>
      </c>
      <c r="B99" s="1" t="s">
        <v>91</v>
      </c>
      <c r="C99" s="1" t="s">
        <v>91</v>
      </c>
      <c r="D99" s="1" t="s">
        <v>91</v>
      </c>
      <c r="E99" s="1" t="s">
        <v>91</v>
      </c>
      <c r="F99" s="1">
        <v>-71100000</v>
      </c>
      <c r="G99" s="1">
        <v>65900000</v>
      </c>
      <c r="H99" s="1">
        <v>26000000</v>
      </c>
      <c r="I99" s="1">
        <v>35900000</v>
      </c>
      <c r="J99" s="1">
        <v>590700000</v>
      </c>
      <c r="K99" s="1">
        <v>-233627000</v>
      </c>
      <c r="L99" s="1">
        <v>169000000</v>
      </c>
      <c r="M99" s="1">
        <v>646000000</v>
      </c>
      <c r="N99" s="1">
        <v>150000000</v>
      </c>
      <c r="O99" s="1">
        <v>3000000</v>
      </c>
      <c r="P99" s="1" t="s">
        <v>91</v>
      </c>
      <c r="Q99" s="1" t="s">
        <v>91</v>
      </c>
      <c r="R99" s="1" t="s">
        <v>91</v>
      </c>
      <c r="S99" s="1" t="s">
        <v>91</v>
      </c>
      <c r="T99" s="1" t="s">
        <v>91</v>
      </c>
      <c r="U99" s="1" t="s">
        <v>91</v>
      </c>
      <c r="V99" s="1" t="s">
        <v>91</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N99" s="51"/>
      <c r="AO99" s="51"/>
      <c r="AP99" s="51"/>
      <c r="AQ99" s="51"/>
      <c r="AR99" s="51"/>
      <c r="AS99" s="51"/>
      <c r="AT99" s="73" t="s">
        <v>133</v>
      </c>
      <c r="AU99" s="73"/>
    </row>
    <row r="100" spans="1:47" ht="20" x14ac:dyDescent="0.25">
      <c r="A100" s="6" t="s">
        <v>85</v>
      </c>
      <c r="B100" s="10" t="s">
        <v>91</v>
      </c>
      <c r="C100" s="10" t="s">
        <v>91</v>
      </c>
      <c r="D100" s="10" t="s">
        <v>91</v>
      </c>
      <c r="E100" s="10" t="s">
        <v>91</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N100" s="51"/>
      <c r="AO100" s="51"/>
      <c r="AP100" s="51"/>
      <c r="AQ100" s="51"/>
      <c r="AR100" s="51"/>
      <c r="AS100" s="51"/>
      <c r="AT100" s="38" t="s">
        <v>134</v>
      </c>
      <c r="AU100" s="52">
        <f>AU87+AU88</f>
        <v>120069000000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N101" s="51"/>
      <c r="AO101" s="51"/>
      <c r="AP101" s="51"/>
      <c r="AQ101" s="51"/>
      <c r="AR101" s="51"/>
      <c r="AS101" s="51"/>
      <c r="AT101" s="39" t="s">
        <v>135</v>
      </c>
      <c r="AU101" s="53">
        <f>AU100/AU104</f>
        <v>4.3660501952684672E-2</v>
      </c>
    </row>
    <row r="102" spans="1:47" ht="20" x14ac:dyDescent="0.25">
      <c r="A102" s="6" t="s">
        <v>87</v>
      </c>
      <c r="B102" s="10" t="s">
        <v>91</v>
      </c>
      <c r="C102" s="10" t="s">
        <v>91</v>
      </c>
      <c r="D102" s="10" t="s">
        <v>91</v>
      </c>
      <c r="E102" s="10" t="s">
        <v>91</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N102" s="51"/>
      <c r="AO102" s="51"/>
      <c r="AP102" s="51"/>
      <c r="AQ102" s="51"/>
      <c r="AR102" s="51"/>
      <c r="AS102" s="51"/>
      <c r="AT102" s="38" t="s">
        <v>136</v>
      </c>
      <c r="AU102" s="56" cm="1">
        <f t="array" ref="AU102">_FV(A1,"Market cap",TRUE)</f>
        <v>2629991000000</v>
      </c>
    </row>
    <row r="103" spans="1:47" ht="20" x14ac:dyDescent="0.25">
      <c r="A103" s="5" t="s">
        <v>88</v>
      </c>
      <c r="B103" s="1" t="s">
        <v>91</v>
      </c>
      <c r="C103" s="1" t="s">
        <v>91</v>
      </c>
      <c r="D103" s="1" t="s">
        <v>91</v>
      </c>
      <c r="E103" s="1" t="s">
        <v>91</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N103" s="51"/>
      <c r="AO103" s="51"/>
      <c r="AP103" s="51"/>
      <c r="AQ103" s="51"/>
      <c r="AR103" s="51"/>
      <c r="AS103" s="51"/>
      <c r="AT103" s="39" t="s">
        <v>137</v>
      </c>
      <c r="AU103" s="53">
        <f>AU102/AU104</f>
        <v>0.95633949804731533</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N104" s="76" t="s">
        <v>154</v>
      </c>
      <c r="AO104" s="76"/>
      <c r="AP104" s="76"/>
      <c r="AQ104" s="76"/>
      <c r="AR104" s="76"/>
      <c r="AS104" s="51"/>
      <c r="AT104" s="39" t="s">
        <v>138</v>
      </c>
      <c r="AU104" s="57">
        <f>AU100+AU102</f>
        <v>2750060000000</v>
      </c>
    </row>
    <row r="105" spans="1:47" ht="21" customHeight="1" thickTop="1" x14ac:dyDescent="0.25">
      <c r="A105" s="14" t="s">
        <v>161</v>
      </c>
      <c r="B105" s="1" t="e">
        <f t="shared" ref="B105:AM105" si="10">(B22*(1-$AU$92))+B77+B88+B81</f>
        <v>#VALUE!</v>
      </c>
      <c r="C105" s="1" t="e">
        <f t="shared" si="10"/>
        <v>#VALUE!</v>
      </c>
      <c r="D105" s="1" t="e">
        <f t="shared" si="10"/>
        <v>#VALUE!</v>
      </c>
      <c r="E105" s="1" t="e">
        <f t="shared" si="10"/>
        <v>#VALUE!</v>
      </c>
      <c r="F105" s="1">
        <f t="shared" si="10"/>
        <v>308315099.53569603</v>
      </c>
      <c r="G105" s="1">
        <f t="shared" si="10"/>
        <v>720324232.80689824</v>
      </c>
      <c r="H105" s="1">
        <f t="shared" si="10"/>
        <v>-39782557.114430428</v>
      </c>
      <c r="I105" s="1">
        <f t="shared" si="10"/>
        <v>718140652.20859253</v>
      </c>
      <c r="J105" s="1">
        <f t="shared" si="10"/>
        <v>-901189725.69960451</v>
      </c>
      <c r="K105" s="1">
        <f t="shared" si="10"/>
        <v>693742309.78228927</v>
      </c>
      <c r="L105" s="1">
        <f t="shared" si="10"/>
        <v>-255838517.92146301</v>
      </c>
      <c r="M105" s="1">
        <f t="shared" si="10"/>
        <v>39107705.095589638</v>
      </c>
      <c r="N105" s="1">
        <f t="shared" si="10"/>
        <v>-161612259.97665882</v>
      </c>
      <c r="O105" s="1">
        <f t="shared" si="10"/>
        <v>670706355.00365233</v>
      </c>
      <c r="P105" s="1">
        <f t="shared" si="10"/>
        <v>715825982.55291629</v>
      </c>
      <c r="Q105" s="1">
        <f t="shared" si="10"/>
        <v>571412710.00730467</v>
      </c>
      <c r="R105" s="1">
        <f t="shared" si="10"/>
        <v>-207256651.80558002</v>
      </c>
      <c r="S105" s="1">
        <f t="shared" si="10"/>
        <v>-144754758.48635215</v>
      </c>
      <c r="T105" s="1">
        <f t="shared" si="10"/>
        <v>74162044.616844237</v>
      </c>
      <c r="U105" s="1">
        <f t="shared" si="10"/>
        <v>695173454.9087764</v>
      </c>
      <c r="V105" s="1">
        <f t="shared" si="10"/>
        <v>1766626382.2069972</v>
      </c>
      <c r="W105" s="1">
        <f t="shared" si="10"/>
        <v>1402504554.8810692</v>
      </c>
      <c r="X105" s="1">
        <f t="shared" si="10"/>
        <v>4601545284.3337278</v>
      </c>
      <c r="Y105" s="1">
        <f t="shared" si="10"/>
        <v>8759170029.3023682</v>
      </c>
      <c r="Z105" s="1">
        <f t="shared" si="10"/>
        <v>9511062324.2067795</v>
      </c>
      <c r="AA105" s="1">
        <f t="shared" si="10"/>
        <v>15639809719.318573</v>
      </c>
      <c r="AB105" s="1">
        <f t="shared" si="10"/>
        <v>31625512396.832993</v>
      </c>
      <c r="AC105" s="1">
        <f t="shared" si="10"/>
        <v>40972493320.907112</v>
      </c>
      <c r="AD105" s="1">
        <f t="shared" si="10"/>
        <v>46128975819.248886</v>
      </c>
      <c r="AE105" s="1">
        <f t="shared" si="10"/>
        <v>49417171481.826653</v>
      </c>
      <c r="AF105" s="1">
        <f t="shared" si="10"/>
        <v>71344561942.184494</v>
      </c>
      <c r="AG105" s="1">
        <f t="shared" si="10"/>
        <v>48552433918.541092</v>
      </c>
      <c r="AH105" s="1">
        <f t="shared" si="10"/>
        <v>43559535024.306694</v>
      </c>
      <c r="AI105" s="1">
        <f t="shared" si="10"/>
        <v>91693360754.976776</v>
      </c>
      <c r="AJ105" s="1">
        <f t="shared" si="10"/>
        <v>52134487645.147476</v>
      </c>
      <c r="AK105" s="1">
        <f t="shared" si="10"/>
        <v>64983386438.628746</v>
      </c>
      <c r="AL105" s="1">
        <f t="shared" si="10"/>
        <v>86582401039.436447</v>
      </c>
      <c r="AM105" s="1">
        <f t="shared" si="10"/>
        <v>101678877097.97401</v>
      </c>
      <c r="AN105" s="77">
        <f>AN107/AN3</f>
        <v>0.24584856396866842</v>
      </c>
      <c r="AO105" s="77">
        <f>AO107/AO3</f>
        <v>0.25904949519822706</v>
      </c>
      <c r="AP105" s="77">
        <f>AP107/AP3</f>
        <v>0.26803164262447648</v>
      </c>
      <c r="AQ105" s="77">
        <f>AQ107/AQ3</f>
        <v>0.26024294832200945</v>
      </c>
      <c r="AR105" s="77">
        <f>AR107/AR3</f>
        <v>0.25821150560091133</v>
      </c>
      <c r="AS105" s="78" t="s">
        <v>168</v>
      </c>
      <c r="AT105" s="73" t="s">
        <v>139</v>
      </c>
      <c r="AU105" s="73"/>
    </row>
    <row r="106" spans="1:47" ht="20" x14ac:dyDescent="0.25">
      <c r="A106" s="14" t="s">
        <v>162</v>
      </c>
      <c r="B106" s="1"/>
      <c r="C106" s="15" t="e">
        <f t="shared" ref="C106:AM106" si="11">(C107/B107)-1</f>
        <v>#VALUE!</v>
      </c>
      <c r="D106" s="15" t="e">
        <f t="shared" si="11"/>
        <v>#VALUE!</v>
      </c>
      <c r="E106" s="15" t="e">
        <f t="shared" si="11"/>
        <v>#VALUE!</v>
      </c>
      <c r="F106" s="15" t="e">
        <f t="shared" si="11"/>
        <v>#VALUE!</v>
      </c>
      <c r="G106" s="15">
        <f t="shared" si="11"/>
        <v>1.7566157286619455</v>
      </c>
      <c r="H106" s="15">
        <f t="shared" si="11"/>
        <v>-1.1211465657111952</v>
      </c>
      <c r="I106" s="15">
        <f t="shared" si="11"/>
        <v>-8.6875</v>
      </c>
      <c r="J106" s="15">
        <f t="shared" si="11"/>
        <v>-2.2701800232288036</v>
      </c>
      <c r="K106" s="15">
        <f t="shared" si="11"/>
        <v>-1.6599702823179792</v>
      </c>
      <c r="L106" s="15">
        <f t="shared" si="11"/>
        <v>-1.6910191753491466</v>
      </c>
      <c r="M106" s="15">
        <f t="shared" si="11"/>
        <v>-2.132832080200501</v>
      </c>
      <c r="N106" s="15">
        <f t="shared" si="11"/>
        <v>-0.70132743362831862</v>
      </c>
      <c r="O106" s="15">
        <f t="shared" si="11"/>
        <v>4.325925925925926</v>
      </c>
      <c r="P106" s="15">
        <f t="shared" si="11"/>
        <v>4.4506258692628586E-2</v>
      </c>
      <c r="Q106" s="15">
        <f t="shared" si="11"/>
        <v>-4.260985352862845E-2</v>
      </c>
      <c r="R106" s="15">
        <f t="shared" si="11"/>
        <v>-1.0653685674547984</v>
      </c>
      <c r="S106" s="15">
        <f t="shared" si="11"/>
        <v>0.8085106382978724</v>
      </c>
      <c r="T106" s="15">
        <f t="shared" si="11"/>
        <v>-2.4705882352941178</v>
      </c>
      <c r="U106" s="15">
        <f t="shared" si="11"/>
        <v>5.0640000000000001</v>
      </c>
      <c r="V106" s="15">
        <f t="shared" si="11"/>
        <v>2.0013192612137205</v>
      </c>
      <c r="W106" s="15">
        <f t="shared" si="11"/>
        <v>-0.31296703296703299</v>
      </c>
      <c r="X106" s="15">
        <f t="shared" si="11"/>
        <v>1.8688419705694179</v>
      </c>
      <c r="Y106" s="15">
        <f t="shared" si="11"/>
        <v>0.87265834076717219</v>
      </c>
      <c r="Z106" s="15">
        <f t="shared" si="11"/>
        <v>6.5380493033226239E-2</v>
      </c>
      <c r="AA106" s="15">
        <f t="shared" si="11"/>
        <v>0.84149340487368662</v>
      </c>
      <c r="AB106" s="15">
        <f t="shared" si="11"/>
        <v>0.82572538545586993</v>
      </c>
      <c r="AC106" s="15">
        <f t="shared" si="11"/>
        <v>0.37826245968680383</v>
      </c>
      <c r="AD106" s="15">
        <f t="shared" si="11"/>
        <v>7.5650118203309802E-2</v>
      </c>
      <c r="AE106" s="15">
        <f t="shared" si="11"/>
        <v>0.11908499663601702</v>
      </c>
      <c r="AF106" s="15">
        <f t="shared" si="11"/>
        <v>0.39835671342685375</v>
      </c>
      <c r="AG106" s="15">
        <f t="shared" si="11"/>
        <v>-0.25082404196164976</v>
      </c>
      <c r="AH106" s="15">
        <f t="shared" si="11"/>
        <v>-2.8177366286632477E-2</v>
      </c>
      <c r="AI106" s="15">
        <f t="shared" si="11"/>
        <v>0.26214987303899373</v>
      </c>
      <c r="AJ106" s="15">
        <f t="shared" si="11"/>
        <v>-8.1486564464060107E-2</v>
      </c>
      <c r="AK106" s="15">
        <f t="shared" si="11"/>
        <v>0.24567033414832928</v>
      </c>
      <c r="AL106" s="15">
        <f t="shared" si="11"/>
        <v>0.26699379813262447</v>
      </c>
      <c r="AM106" s="15">
        <f t="shared" si="11"/>
        <v>0.19891773261755952</v>
      </c>
      <c r="AN106" s="48">
        <f>(AN107/AM107)-1</f>
        <v>-0.15508376479455865</v>
      </c>
      <c r="AO106" s="48">
        <f>(AO107/AN107)-1</f>
        <v>0.11724723874256582</v>
      </c>
      <c r="AP106" s="48">
        <f>(AP107/AO107)-1</f>
        <v>9.5057034220532355E-2</v>
      </c>
      <c r="AQ106" s="48">
        <f>(AQ107/AP107)-1</f>
        <v>9.7222222222222321E-2</v>
      </c>
      <c r="AR106" s="48">
        <f>(AR107/AQ107)-1</f>
        <v>7.5949367088607556E-2</v>
      </c>
      <c r="AS106" s="49">
        <f>SUM(AN106:AR106)/5</f>
        <v>4.6078419495873879E-2</v>
      </c>
      <c r="AT106" s="40" t="s">
        <v>106</v>
      </c>
      <c r="AU106" s="58">
        <f>(AU101*AU93)+(AU103*AU98)</f>
        <v>9.1486163344479593E-2</v>
      </c>
    </row>
    <row r="107" spans="1:47" ht="19" x14ac:dyDescent="0.25">
      <c r="A107" s="37" t="s">
        <v>163</v>
      </c>
      <c r="B107" s="1" t="s">
        <v>91</v>
      </c>
      <c r="C107" s="1" t="s">
        <v>91</v>
      </c>
      <c r="D107" s="1" t="s">
        <v>91</v>
      </c>
      <c r="E107" s="1" t="s">
        <v>91</v>
      </c>
      <c r="F107" s="1">
        <v>268300000</v>
      </c>
      <c r="G107" s="1">
        <v>739600000</v>
      </c>
      <c r="H107" s="1">
        <v>-89600000</v>
      </c>
      <c r="I107" s="1">
        <v>688800000</v>
      </c>
      <c r="J107" s="1">
        <v>-874900000</v>
      </c>
      <c r="K107" s="1">
        <v>577408000</v>
      </c>
      <c r="L107" s="1">
        <v>-399000000</v>
      </c>
      <c r="M107" s="1">
        <v>452000000</v>
      </c>
      <c r="N107" s="1">
        <v>135000000</v>
      </c>
      <c r="O107" s="1">
        <v>719000000</v>
      </c>
      <c r="P107" s="1">
        <v>751000000</v>
      </c>
      <c r="Q107" s="1">
        <v>719000000</v>
      </c>
      <c r="R107" s="1">
        <v>-47000000</v>
      </c>
      <c r="S107" s="1">
        <v>-85000000</v>
      </c>
      <c r="T107" s="1">
        <v>125000000</v>
      </c>
      <c r="U107" s="1">
        <v>758000000</v>
      </c>
      <c r="V107" s="1">
        <v>2275000000</v>
      </c>
      <c r="W107" s="1">
        <v>1563000000</v>
      </c>
      <c r="X107" s="1">
        <v>4484000000</v>
      </c>
      <c r="Y107" s="1">
        <v>8397000000</v>
      </c>
      <c r="Z107" s="1">
        <v>8946000000</v>
      </c>
      <c r="AA107" s="1">
        <v>16474000000</v>
      </c>
      <c r="AB107" s="1">
        <v>30077000000</v>
      </c>
      <c r="AC107" s="1">
        <v>41454000000</v>
      </c>
      <c r="AD107" s="1">
        <v>44590000000</v>
      </c>
      <c r="AE107" s="1">
        <v>49900000000</v>
      </c>
      <c r="AF107" s="1">
        <v>69778000000</v>
      </c>
      <c r="AG107" s="1">
        <v>52276000000</v>
      </c>
      <c r="AH107" s="1">
        <v>50803000000</v>
      </c>
      <c r="AI107" s="1">
        <v>64121000000</v>
      </c>
      <c r="AJ107" s="1">
        <v>58896000000</v>
      </c>
      <c r="AK107" s="1">
        <v>73365000000</v>
      </c>
      <c r="AL107" s="1">
        <v>92953000000</v>
      </c>
      <c r="AM107" s="1">
        <v>111443000000</v>
      </c>
      <c r="AN107" s="59">
        <v>94160000000</v>
      </c>
      <c r="AO107" s="59">
        <v>105200000000</v>
      </c>
      <c r="AP107" s="59">
        <v>115200000000</v>
      </c>
      <c r="AQ107" s="59">
        <v>126400000000</v>
      </c>
      <c r="AR107" s="59">
        <v>136000000000</v>
      </c>
      <c r="AS107" s="50" t="s">
        <v>164</v>
      </c>
      <c r="AT107" s="60" t="s">
        <v>140</v>
      </c>
      <c r="AU107" s="41">
        <f>(SUM(AN4:AR4)/5)</f>
        <v>6.0884142525847305E-2</v>
      </c>
    </row>
    <row r="108" spans="1:47" ht="19" x14ac:dyDescent="0.2">
      <c r="AN108" s="50"/>
      <c r="AO108" s="50"/>
      <c r="AP108" s="50"/>
      <c r="AQ108" s="50"/>
      <c r="AR108" s="70">
        <f>AR107*(1+AU108)/(AU109-AU108)</f>
        <v>2096676857073.8184</v>
      </c>
      <c r="AS108" s="61" t="s">
        <v>141</v>
      </c>
      <c r="AT108" s="62" t="s">
        <v>142</v>
      </c>
      <c r="AU108" s="42">
        <v>2.5000000000000001E-2</v>
      </c>
    </row>
    <row r="109" spans="1:47" ht="19" x14ac:dyDescent="0.2">
      <c r="AN109" s="70">
        <f>AN108+AN107</f>
        <v>94160000000</v>
      </c>
      <c r="AO109" s="70">
        <f t="shared" ref="AO109:AR109" si="12">AO108+AO107</f>
        <v>105200000000</v>
      </c>
      <c r="AP109" s="70">
        <f t="shared" si="12"/>
        <v>115200000000</v>
      </c>
      <c r="AQ109" s="70">
        <f t="shared" si="12"/>
        <v>126400000000</v>
      </c>
      <c r="AR109" s="70">
        <f t="shared" si="12"/>
        <v>2232676857073.8184</v>
      </c>
      <c r="AS109" s="61" t="s">
        <v>138</v>
      </c>
      <c r="AT109" s="63" t="s">
        <v>143</v>
      </c>
      <c r="AU109" s="41">
        <f>AU106</f>
        <v>9.1486163344479593E-2</v>
      </c>
    </row>
    <row r="110" spans="1:47" ht="19" x14ac:dyDescent="0.2">
      <c r="AN110" s="74" t="s">
        <v>144</v>
      </c>
      <c r="AO110" s="74"/>
      <c r="AP110" s="51"/>
      <c r="AQ110" s="51"/>
      <c r="AR110" s="51"/>
      <c r="AS110" s="51"/>
      <c r="AT110" s="51"/>
      <c r="AU110" s="51"/>
    </row>
    <row r="111" spans="1:47" ht="20" x14ac:dyDescent="0.2">
      <c r="AN111" s="64" t="s">
        <v>145</v>
      </c>
      <c r="AO111" s="56">
        <f>NPV(AU109,AN109,AO109,AP109,AQ109,AR109)</f>
        <v>1793457046739.3335</v>
      </c>
      <c r="AP111" s="51"/>
      <c r="AQ111" s="51"/>
      <c r="AR111" s="51"/>
      <c r="AS111" s="51"/>
      <c r="AT111" s="51"/>
      <c r="AU111" s="51"/>
    </row>
    <row r="112" spans="1:47" ht="20" x14ac:dyDescent="0.2">
      <c r="AN112" s="64" t="s">
        <v>146</v>
      </c>
      <c r="AO112" s="56">
        <f>AM40</f>
        <v>48304000000</v>
      </c>
      <c r="AP112" s="51"/>
      <c r="AQ112" s="51"/>
      <c r="AR112" s="51"/>
      <c r="AS112" s="51"/>
      <c r="AT112" s="51"/>
      <c r="AU112" s="51"/>
    </row>
    <row r="113" spans="40:47" ht="20" x14ac:dyDescent="0.2">
      <c r="AN113" s="64" t="s">
        <v>134</v>
      </c>
      <c r="AO113" s="56">
        <f>AU100</f>
        <v>120069000000</v>
      </c>
      <c r="AP113" s="51"/>
      <c r="AQ113" s="51"/>
      <c r="AR113" s="51"/>
      <c r="AS113" s="51"/>
      <c r="AT113" s="51"/>
      <c r="AU113" s="51"/>
    </row>
    <row r="114" spans="40:47" ht="20" x14ac:dyDescent="0.2">
      <c r="AN114" s="64" t="s">
        <v>147</v>
      </c>
      <c r="AO114" s="56">
        <f>AO111+AO112-AO113</f>
        <v>1721692046739.3335</v>
      </c>
      <c r="AP114" s="51"/>
      <c r="AQ114" s="51"/>
      <c r="AR114" s="51"/>
      <c r="AS114" s="51"/>
      <c r="AT114" s="51"/>
      <c r="AU114" s="51"/>
    </row>
    <row r="115" spans="40:47" ht="20" x14ac:dyDescent="0.2">
      <c r="AN115" s="64" t="s">
        <v>148</v>
      </c>
      <c r="AO115" s="64">
        <f>AM34*(1+(5*AS16))</f>
        <v>12320235482.186365</v>
      </c>
      <c r="AP115" s="51"/>
      <c r="AQ115" s="51"/>
      <c r="AR115" s="51"/>
      <c r="AS115" s="51"/>
      <c r="AT115" s="51"/>
      <c r="AU115" s="51"/>
    </row>
    <row r="116" spans="40:47" ht="20" x14ac:dyDescent="0.2">
      <c r="AN116" s="65" t="s">
        <v>149</v>
      </c>
      <c r="AO116" s="66">
        <f>AO114/AO115</f>
        <v>139.74506000544397</v>
      </c>
      <c r="AP116" s="51"/>
      <c r="AQ116" s="51"/>
      <c r="AR116" s="51"/>
      <c r="AS116" s="51"/>
      <c r="AT116" s="51"/>
      <c r="AU116" s="51"/>
    </row>
    <row r="117" spans="40:47" ht="20" x14ac:dyDescent="0.2">
      <c r="AN117" s="64" t="s">
        <v>150</v>
      </c>
      <c r="AO117" s="67" cm="1">
        <f t="array" ref="AO117">_FV(A1,"Price",TRUE)</f>
        <v>168.22</v>
      </c>
      <c r="AP117" s="51"/>
      <c r="AQ117" s="51"/>
      <c r="AR117" s="51"/>
      <c r="AS117" s="51"/>
      <c r="AT117" s="51"/>
      <c r="AU117" s="51"/>
    </row>
    <row r="118" spans="40:47" ht="20" x14ac:dyDescent="0.2">
      <c r="AN118" s="65" t="s">
        <v>151</v>
      </c>
      <c r="AO118" s="68">
        <f>(AO116/AO117)-1</f>
        <v>-0.16927202469715863</v>
      </c>
      <c r="AP118" s="51"/>
      <c r="AQ118" s="51"/>
      <c r="AR118" s="51"/>
      <c r="AS118" s="51"/>
      <c r="AT118" s="51"/>
      <c r="AU118" s="51"/>
    </row>
    <row r="119" spans="40:47" ht="20" x14ac:dyDescent="0.2">
      <c r="AN119" s="65" t="s">
        <v>152</v>
      </c>
      <c r="AO119" s="69" t="str">
        <f>IF(AO116&gt;AO117,"BUY","SELL")</f>
        <v>SELL</v>
      </c>
      <c r="AP119" s="51"/>
      <c r="AQ119" s="51"/>
      <c r="AR119" s="51"/>
      <c r="AS119" s="51"/>
      <c r="AT119" s="51"/>
      <c r="AU119" s="51"/>
    </row>
  </sheetData>
  <mergeCells count="7">
    <mergeCell ref="AT84:AU84"/>
    <mergeCell ref="AT85:AU85"/>
    <mergeCell ref="AN110:AO110"/>
    <mergeCell ref="AN104:AR104"/>
    <mergeCell ref="AT105:AU105"/>
    <mergeCell ref="AT99:AU99"/>
    <mergeCell ref="AT94:AU9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 ref="AS107" r:id="rId79" xr:uid="{DDF2AB5D-4ECD-C04F-9B10-28AD1A34C38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2023-03-13T11:32:12Z</dcterms:created>
  <dcterms:modified xsi:type="dcterms:W3CDTF">2023-10-30T07:14:50Z</dcterms:modified>
</cp:coreProperties>
</file>