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93621CE-430E-6945-AE16-053C9BA8E3B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5" i="1" l="1"/>
  <c r="N105" i="1"/>
  <c r="M105" i="1"/>
  <c r="L105" i="1"/>
  <c r="K105" i="1"/>
  <c r="Q22" i="1"/>
  <c r="O3" i="1"/>
  <c r="N3" i="1"/>
  <c r="O4" i="1" s="1"/>
  <c r="M3" i="1"/>
  <c r="L3" i="1"/>
  <c r="S92" i="1" a="1"/>
  <c r="S92" i="1" s="1"/>
  <c r="L117" i="1" s="1" a="1"/>
  <c r="L117" i="1" s="1"/>
  <c r="O106" i="1"/>
  <c r="N106" i="1"/>
  <c r="M106" i="1"/>
  <c r="L106" i="1"/>
  <c r="K106" i="1"/>
  <c r="K109" i="1"/>
  <c r="L109" i="1"/>
  <c r="M109" i="1"/>
  <c r="N109" i="1"/>
  <c r="B105" i="1"/>
  <c r="G105" i="1"/>
  <c r="H105" i="1"/>
  <c r="I105" i="1"/>
  <c r="J105" i="1"/>
  <c r="K29" i="1"/>
  <c r="L29" i="1"/>
  <c r="M29" i="1"/>
  <c r="N29" i="1"/>
  <c r="O29" i="1"/>
  <c r="K30" i="1"/>
  <c r="L30" i="1"/>
  <c r="M30" i="1"/>
  <c r="N30" i="1"/>
  <c r="O30" i="1"/>
  <c r="K20" i="1"/>
  <c r="L20" i="1"/>
  <c r="M20" i="1"/>
  <c r="N20" i="1"/>
  <c r="O20" i="1"/>
  <c r="K21" i="1"/>
  <c r="L21" i="1"/>
  <c r="M21" i="1"/>
  <c r="N21" i="1"/>
  <c r="O21" i="1"/>
  <c r="R102" i="1" a="1"/>
  <c r="R102" i="1" s="1"/>
  <c r="S22" i="1" s="1"/>
  <c r="R96" i="1" a="1"/>
  <c r="R96" i="1" s="1"/>
  <c r="L112" i="1"/>
  <c r="R91" i="1"/>
  <c r="R90" i="1"/>
  <c r="R92" i="1" s="1"/>
  <c r="C105" i="1" s="1"/>
  <c r="R88" i="1"/>
  <c r="R87" i="1"/>
  <c r="R100" i="1" s="1"/>
  <c r="R86" i="1"/>
  <c r="R89" i="1" s="1"/>
  <c r="R93" i="1" s="1"/>
  <c r="P19" i="1"/>
  <c r="P16" i="1"/>
  <c r="L115" i="1" s="1"/>
  <c r="S13" i="1"/>
  <c r="R13" i="1"/>
  <c r="Q13" i="1"/>
  <c r="P13" i="1"/>
  <c r="S10" i="1"/>
  <c r="R10" i="1"/>
  <c r="Q10" i="1"/>
  <c r="P10" i="1"/>
  <c r="S7" i="1"/>
  <c r="R7" i="1"/>
  <c r="Q7" i="1"/>
  <c r="P7" i="1"/>
  <c r="R4" i="1"/>
  <c r="Q4" i="1"/>
  <c r="P4" i="1"/>
  <c r="M4" i="1"/>
  <c r="L4" i="1"/>
  <c r="K4" i="1"/>
  <c r="J77" i="1"/>
  <c r="J76" i="1"/>
  <c r="J73" i="1"/>
  <c r="J67" i="1"/>
  <c r="J65" i="1"/>
  <c r="J30" i="1"/>
  <c r="J26" i="1"/>
  <c r="J25" i="1"/>
  <c r="J23" i="1"/>
  <c r="J21" i="1"/>
  <c r="J7" i="1"/>
  <c r="J6" i="1"/>
  <c r="F105" i="1" l="1"/>
  <c r="E105" i="1"/>
  <c r="D105" i="1"/>
  <c r="N4" i="1"/>
  <c r="P106" i="1"/>
  <c r="R19" i="1"/>
  <c r="R22" i="1"/>
  <c r="Q19" i="1"/>
  <c r="R107" i="1"/>
  <c r="S16" i="1"/>
  <c r="Q16" i="1"/>
  <c r="R16" i="1"/>
  <c r="R104" i="1"/>
  <c r="R101" i="1" s="1"/>
  <c r="L113" i="1"/>
  <c r="S19" i="1" l="1"/>
  <c r="R103" i="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R95" i="1" l="1"/>
  <c r="R98" i="1" s="1"/>
  <c r="R106" i="1" s="1"/>
  <c r="R109" i="1" s="1"/>
  <c r="O108" i="1" s="1"/>
  <c r="O109" i="1" s="1"/>
  <c r="L111" i="1" s="1"/>
  <c r="L114" i="1" s="1"/>
  <c r="L116" i="1" s="1"/>
  <c r="L118" i="1" l="1"/>
  <c r="L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<sst xmlns="http://schemas.openxmlformats.org/spreadsheetml/2006/main" count="399" uniqueCount="168">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</sst>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2]\ * #,##0.00_);_([$€-2]\ * \(#,##0.00\);_([$€-2]\ *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70" fontId="0" fillId="0" borderId="0" xfId="0" applyNumberForma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4" borderId="0" xfId="0" applyNumberFormat="1" applyFont="1" applyFill="1"/>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p>
        </c:rich>
      </c:tx>
      <c:layout>
        <c:manualLayout>
          <c:xMode val="edge"/>
          <c:yMode val="edge"/>
          <c:x val="0.45421411615146129"/>
          <c:y val="2.91616076082455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38385502471171E-2"/>
          <c:y val="0.17020658307345995"/>
          <c:w val="0.84199011532125212"/>
          <c:h val="0.5898250227003852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1'!$B$3:$O$3</c:f>
              <c:numCache>
                <c:formatCode>#,###,,;\(#,###,,\);\ \-\ \-</c:formatCode>
                <c:ptCount val="14"/>
                <c:pt idx="0">
                  <c:v>153675000</c:v>
                </c:pt>
                <c:pt idx="1">
                  <c:v>331101000</c:v>
                </c:pt>
                <c:pt idx="2">
                  <c:v>659361000</c:v>
                </c:pt>
                <c:pt idx="3">
                  <c:v>1012440000</c:v>
                </c:pt>
                <c:pt idx="4">
                  <c:v>1652948000</c:v>
                </c:pt>
                <c:pt idx="5">
                  <c:v>2656774000</c:v>
                </c:pt>
                <c:pt idx="6">
                  <c:v>3641389000</c:v>
                </c:pt>
                <c:pt idx="7">
                  <c:v>5995419000</c:v>
                </c:pt>
                <c:pt idx="8">
                  <c:v>8935661000</c:v>
                </c:pt>
                <c:pt idx="9">
                  <c:v>10812000000</c:v>
                </c:pt>
                <c:pt idx="10">
                  <c:v>13352820000.000002</c:v>
                </c:pt>
                <c:pt idx="11">
                  <c:v>16784494740.000002</c:v>
                </c:pt>
                <c:pt idx="12">
                  <c:v>21098109888.18</c:v>
                </c:pt>
                <c:pt idx="13">
                  <c:v>24621494239.506062</c:v>
                </c:pt>
              </c:numCache>
            </c:numRef>
          </c:val>
          <c:extLst>
            <c:ext xmlns:c16="http://schemas.microsoft.com/office/drawing/2014/chart" uri="{C3380CC4-5D6E-409C-BE32-E72D297353CC}">
              <c16:uniqueId val="{00000000-B1AB-DA49-811F-B0400F35174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1'!$B$28:$O$28</c:f>
              <c:numCache>
                <c:formatCode>#,###,,;\(#,###,,\);\ \-\ \-</c:formatCode>
                <c:ptCount val="14"/>
                <c:pt idx="0">
                  <c:v>10864000</c:v>
                </c:pt>
                <c:pt idx="1">
                  <c:v>33608000</c:v>
                </c:pt>
                <c:pt idx="2">
                  <c:v>97230000</c:v>
                </c:pt>
                <c:pt idx="3">
                  <c:v>71307000</c:v>
                </c:pt>
                <c:pt idx="4">
                  <c:v>131146000</c:v>
                </c:pt>
                <c:pt idx="5">
                  <c:v>204039000</c:v>
                </c:pt>
                <c:pt idx="6">
                  <c:v>261019000</c:v>
                </c:pt>
                <c:pt idx="7">
                  <c:v>469717000</c:v>
                </c:pt>
                <c:pt idx="8">
                  <c:v>564139000</c:v>
                </c:pt>
                <c:pt idx="9">
                  <c:v>620800000</c:v>
                </c:pt>
                <c:pt idx="10">
                  <c:v>780600000</c:v>
                </c:pt>
                <c:pt idx="11">
                  <c:v>984900000</c:v>
                </c:pt>
                <c:pt idx="12">
                  <c:v>1239000000</c:v>
                </c:pt>
                <c:pt idx="13">
                  <c:v>1573000000</c:v>
                </c:pt>
              </c:numCache>
            </c:numRef>
          </c:val>
          <c:extLst>
            <c:ext xmlns:c16="http://schemas.microsoft.com/office/drawing/2014/chart" uri="{C3380CC4-5D6E-409C-BE32-E72D297353CC}">
              <c16:uniqueId val="{00000001-B1AB-DA49-811F-B0400F35174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1'!$B$107:$O$107</c:f>
              <c:numCache>
                <c:formatCode>#,###,,;\(#,###,,\);\ \-\ \-</c:formatCode>
                <c:ptCount val="14"/>
                <c:pt idx="0">
                  <c:v>141003000</c:v>
                </c:pt>
                <c:pt idx="1">
                  <c:v>131536000</c:v>
                </c:pt>
                <c:pt idx="2">
                  <c:v>177039000</c:v>
                </c:pt>
                <c:pt idx="3">
                  <c:v>189583000</c:v>
                </c:pt>
                <c:pt idx="4">
                  <c:v>370195000</c:v>
                </c:pt>
                <c:pt idx="5">
                  <c:v>509496000</c:v>
                </c:pt>
                <c:pt idx="6">
                  <c:v>994755000</c:v>
                </c:pt>
                <c:pt idx="7">
                  <c:v>1765800000</c:v>
                </c:pt>
                <c:pt idx="8">
                  <c:v>1999000000</c:v>
                </c:pt>
                <c:pt idx="9">
                  <c:v>500000000</c:v>
                </c:pt>
                <c:pt idx="10">
                  <c:v>841200000</c:v>
                </c:pt>
                <c:pt idx="11">
                  <c:v>1145000000</c:v>
                </c:pt>
                <c:pt idx="12">
                  <c:v>1582000000</c:v>
                </c:pt>
                <c:pt idx="13">
                  <c:v>1800000000</c:v>
                </c:pt>
              </c:numCache>
            </c:numRef>
          </c:val>
          <c:extLst>
            <c:ext xmlns:c16="http://schemas.microsoft.com/office/drawing/2014/chart" uri="{C3380CC4-5D6E-409C-BE32-E72D297353CC}">
              <c16:uniqueId val="{00000002-B1AB-DA49-811F-B0400F351746}"/>
            </c:ext>
          </c:extLst>
        </c:ser>
        <c:dLbls>
          <c:showLegendKey val="0"/>
          <c:showVal val="0"/>
          <c:showCatName val="0"/>
          <c:showSerName val="0"/>
          <c:showPercent val="0"/>
          <c:showBubbleSize val="0"/>
        </c:dLbls>
        <c:gapWidth val="150"/>
        <c:overlap val="100"/>
        <c:axId val="1717644368"/>
        <c:axId val="1636782656"/>
      </c:barChart>
      <c:catAx>
        <c:axId val="171764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36782656"/>
        <c:crosses val="autoZero"/>
        <c:auto val="1"/>
        <c:lblAlgn val="ctr"/>
        <c:lblOffset val="100"/>
        <c:noMultiLvlLbl val="0"/>
      </c:catAx>
      <c:valAx>
        <c:axId val="16367826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7644368"/>
        <c:crosses val="autoZero"/>
        <c:crossBetween val="between"/>
      </c:valAx>
      <c:spPr>
        <a:noFill/>
        <a:ln>
          <a:noFill/>
        </a:ln>
        <a:effectLst/>
      </c:spPr>
    </c:plotArea>
    <c:legend>
      <c:legendPos val="b"/>
      <c:layout>
        <c:manualLayout>
          <c:xMode val="edge"/>
          <c:yMode val="edge"/>
          <c:x val="0.34362671717106208"/>
          <c:y val="0.88173832776677452"/>
          <c:w val="0.31274646188172112"/>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15874</xdr:colOff>
      <xdr:row>109</xdr:row>
      <xdr:rowOff>33337</xdr:rowOff>
    </xdr:from>
    <xdr:to>
      <xdr:col>18</xdr:col>
      <xdr:colOff>31749</xdr:colOff>
      <xdr:row>125</xdr:row>
      <xdr:rowOff>190499</xdr:rowOff>
    </xdr:to>
    <xdr:graphicFrame macro="">
      <xdr:nvGraphicFramePr>
        <xdr:cNvPr id="3" name="Chart 2">
          <a:extLst>
            <a:ext uri="{FF2B5EF4-FFF2-40B4-BE49-F238E27FC236}">
              <a16:creationId xmlns:a16="http://schemas.microsoft.com/office/drawing/2014/main" id="{B574ECC8-B7A5-DA8F-9D24-80FC4A158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https://www.bing.com/financeapi/forcetrigger?t=b1ao52&amp;q=XAMS%3aADYEN&amp;form=skydnc</v>
    <v>Learn more on Bing</v>
  </rv>
  <rv s="1">
    <v>0</v>
    <v>Adyen NV (XAMS:ADYEN)</v>
    <v>2</v>
    <v>3</v>
    <v>Finance</v>
    <v>4</v>
    <v>en-US</v>
    <v>b1ao52</v>
    <v>268435456</v>
    <v>1</v>
    <v>Powered by Refinitiv</v>
    <v>1699.2</v>
    <v>602.79999999999995</v>
    <v>1.5690999999999999</v>
    <v>-29.2</v>
    <v>-4.3634000000000006E-2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677.6</v>
    <v>Financial Technology (Fintech) &amp; Infrastructure</v>
    <v>Stock</v>
    <v>45226.666666666664</v>
    <v>0</v>
    <v>638.20000000000005</v>
    <v>19852810000</v>
    <v>Adyen NV</v>
    <v>Adyen NV</v>
    <v>673</v>
    <v>35.160800000000002</v>
    <v>669.2</v>
    <v>640</v>
    <v>31020010</v>
    <v>ADYEN</v>
    <v>Adyen NV (XAMS:ADYEN)</v>
    <v>101455</v>
    <v>103090</v>
    <v>2006</v>
  </rv>
  <rv s="2">
    <v>1</v>
  </rv>
  <rv s="3">
    <v>5</v>
    <v>USD/EUR</v>
    <v>6</v>
    <v>7</v>
    <v>Finance</v>
    <v>8</v>
    <v>en-US</v>
    <v>avyn9c</v>
    <v>268435456</v>
    <v>1</v>
    <v>Powered by Refinitiv</v>
    <v>1.0276000000000001</v>
    <v>0.88670000000000004</v>
    <v>1E-4</v>
    <v>1.0569999999999999E-4</v>
    <v>EUR</v>
    <v>USD</v>
    <v>0.94730000000000003</v>
    <v>Currency Pair</v>
    <v>45229.29184027778</v>
    <v>0.94610000000000005</v>
    <v>US Dollar/Euro FX Cross Rate</v>
    <v>0.94630000000000003</v>
    <v>0.94630000000000003</v>
    <v>0.94640000000000002</v>
    <v>USDEUR</v>
    <v>USD/EUR</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ENXTAM:ADYEN/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96" activePane="bottomRight" state="frozen"/>
      <selection pane="topRight"/>
      <selection pane="bottomLeft"/>
      <selection pane="bottomRight" activeCell="J115" sqref="J115"/>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10812000000</v>
      </c>
      <c r="L3" s="25">
        <f>K3*1.235</f>
        <v>13352820000.000002</v>
      </c>
      <c r="M3" s="25">
        <f>L3*1.257</f>
        <v>16784494740.000002</v>
      </c>
      <c r="N3" s="25">
        <f>M3*1.257</f>
        <v>21098109888.18</v>
      </c>
      <c r="O3" s="25">
        <f>N3*1.167</f>
        <v>24621494239.506062</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0.20998323459227031</v>
      </c>
      <c r="L4" s="16">
        <f t="shared" si="0"/>
        <v>0.2350000000000001</v>
      </c>
      <c r="M4" s="16">
        <f t="shared" si="0"/>
        <v>0.2569999999999999</v>
      </c>
      <c r="N4" s="16">
        <f t="shared" si="0"/>
        <v>0.2569999999999999</v>
      </c>
      <c r="O4" s="16">
        <f t="shared" si="0"/>
        <v>0.16700000000000004</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3">
        <f>R102/J3</f>
        <v>2.2217505789442997</v>
      </c>
      <c r="R16" s="33">
        <f>R102/J28</f>
        <v>35.191344686327305</v>
      </c>
      <c r="S16" s="34">
        <f>R102/J107</f>
        <v>9.9313706853426709</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28">
        <v>705600000</v>
      </c>
      <c r="L19" s="28">
        <v>896600000</v>
      </c>
      <c r="M19" s="28">
        <v>1202000000</v>
      </c>
      <c r="N19" s="28">
        <v>1647000000</v>
      </c>
      <c r="O19" s="28">
        <v>2048000000</v>
      </c>
      <c r="P19" s="27">
        <f>J40-J56-J61</f>
        <v>5761725000</v>
      </c>
      <c r="Q19" s="33">
        <f>R102/K3</f>
        <v>1.8361829448760636</v>
      </c>
      <c r="R19" s="35">
        <f>R102/K28</f>
        <v>31.979397551546391</v>
      </c>
      <c r="S19" s="34">
        <f>R102/K105</f>
        <v>429297163440</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1.8181818181818077E-2</v>
      </c>
      <c r="L20" s="16">
        <f t="shared" ref="L20" si="5">(L19/K19)-1</f>
        <v>0.27069160997732422</v>
      </c>
      <c r="M20" s="16">
        <f t="shared" ref="M20" si="6">(M19/L19)-1</f>
        <v>0.34062012045505252</v>
      </c>
      <c r="N20" s="16">
        <f t="shared" ref="N20" si="7">(N19/M19)-1</f>
        <v>0.37021630615640588</v>
      </c>
      <c r="O20" s="16">
        <f t="shared" ref="O20" si="8">(O19/N19)-1</f>
        <v>0.24347298117789928</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29">
        <f t="shared" ref="K21:O21" si="9">K19/K3</f>
        <v>6.5260821309655936E-2</v>
      </c>
      <c r="L21" s="29">
        <f t="shared" si="9"/>
        <v>6.7146864857011462E-2</v>
      </c>
      <c r="M21" s="29">
        <f t="shared" si="9"/>
        <v>7.1613713645812122E-2</v>
      </c>
      <c r="N21" s="29">
        <f t="shared" si="9"/>
        <v>7.8063864902074231E-2</v>
      </c>
      <c r="O21" s="29">
        <f t="shared" si="9"/>
        <v>8.3179354594730942E-2</v>
      </c>
      <c r="Q21" s="45" t="s">
        <v>167</v>
      </c>
      <c r="R21" s="19" t="s">
        <v>164</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Q22" s="17">
        <f>SUM(K29:O29)/5</f>
        <v>0.22942750604231513</v>
      </c>
      <c r="R22" s="37">
        <f>(-1*J98)/R102</f>
        <v>0</v>
      </c>
      <c r="S22" s="38">
        <f>K107/R102</f>
        <v>2.5185351595063871E-2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1">
        <v>620800000</v>
      </c>
      <c r="L28" s="31">
        <v>780600000</v>
      </c>
      <c r="M28" s="31">
        <v>984900000</v>
      </c>
      <c r="N28" s="31">
        <v>1239000000</v>
      </c>
      <c r="O28" s="31">
        <v>1573000000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0.10043801261745777</v>
      </c>
      <c r="L29" s="16">
        <f t="shared" ref="L29" si="12">(L28/K28)-1</f>
        <v>0.25740979381443307</v>
      </c>
      <c r="M29" s="16">
        <f t="shared" ref="M29" si="13">(M28/L28)-1</f>
        <v>0.26172175249807839</v>
      </c>
      <c r="N29" s="16">
        <f t="shared" ref="N29" si="14">(N28/M28)-1</f>
        <v>0.25799573560767586</v>
      </c>
      <c r="O29" s="16">
        <f t="shared" ref="O29" si="15">(O28/N28)-1</f>
        <v>0.26957223567393052</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2">
        <f t="shared" ref="K30:O30" si="16">K28/K3</f>
        <v>5.7417684054753976E-2</v>
      </c>
      <c r="L30" s="32">
        <f t="shared" si="16"/>
        <v>5.8459561351085383E-2</v>
      </c>
      <c r="M30" s="32">
        <f t="shared" si="16"/>
        <v>5.8679156880000305E-2</v>
      </c>
      <c r="N30" s="32">
        <f t="shared" si="16"/>
        <v>5.8725639716860942E-2</v>
      </c>
      <c r="O30" s="32">
        <f t="shared" si="16"/>
        <v>6.3887267957769417E-2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0">
        <v>20.02</v>
      </c>
      <c r="L31" s="30">
        <v>25.17</v>
      </c>
      <c r="M31" s="30">
        <v>31.76</v>
      </c>
      <c r="N31" s="30">
        <v>39.950000000000003</v>
      </c>
      <c r="O31" s="30">
        <v>50.74</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9"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9" ht="19" x14ac:dyDescent="0.25">
      <c r="A82" s="5" t="s">
        <v>70</v>
      </c>
      <c r="B82" s="1" t="s">
        <v>91</v>
      </c>
      <c r="C82" s="1" t="s">
        <v>91</v>
      </c>
      <c r="D82" s="1" t="s">
        <v>91</v>
      </c>
      <c r="E82" s="1" t="s">
        <v>91</v>
      </c>
      <c r="F82" s="1" t="s">
        <v>91</v>
      </c>
      <c r="G82" s="1" t="s">
        <v>91</v>
      </c>
      <c r="H82" s="1" t="s">
        <v>91</v>
      </c>
      <c r="I82" s="1" t="s">
        <v>91</v>
      </c>
      <c r="J82" s="1" t="s">
        <v>91</v>
      </c>
    </row>
    <row r="83" spans="1:19" ht="19" x14ac:dyDescent="0.25">
      <c r="A83" s="5" t="s">
        <v>34</v>
      </c>
      <c r="B83" s="1">
        <v>214000</v>
      </c>
      <c r="C83" s="1">
        <v>-1394000</v>
      </c>
      <c r="D83" s="1">
        <v>-1784000</v>
      </c>
      <c r="E83" s="1">
        <v>-771000</v>
      </c>
      <c r="F83" s="1">
        <v>-3847000</v>
      </c>
      <c r="G83" s="1">
        <v>844000</v>
      </c>
      <c r="H83" s="1">
        <v>-12528000</v>
      </c>
      <c r="I83" s="1">
        <v>-3851000</v>
      </c>
      <c r="J83" s="1"/>
    </row>
    <row r="84" spans="1:19" ht="19" customHeight="1" x14ac:dyDescent="0.25">
      <c r="A84" s="5" t="s">
        <v>47</v>
      </c>
      <c r="B84" s="1" t="s">
        <v>91</v>
      </c>
      <c r="C84" s="1" t="s">
        <v>91</v>
      </c>
      <c r="D84" s="1" t="s">
        <v>91</v>
      </c>
      <c r="E84" s="1" t="s">
        <v>91</v>
      </c>
      <c r="F84" s="1" t="s">
        <v>91</v>
      </c>
      <c r="G84" s="1" t="s">
        <v>91</v>
      </c>
      <c r="H84" s="1" t="s">
        <v>91</v>
      </c>
      <c r="I84" s="1" t="s">
        <v>91</v>
      </c>
      <c r="J84" s="1" t="s">
        <v>91</v>
      </c>
      <c r="K84" s="46"/>
      <c r="L84" s="46"/>
      <c r="M84" s="46"/>
      <c r="N84" s="46"/>
      <c r="O84" s="46"/>
      <c r="P84" s="46"/>
      <c r="Q84" s="73" t="s">
        <v>124</v>
      </c>
      <c r="R84" s="74"/>
    </row>
    <row r="85" spans="1:19" ht="20" customHeight="1" x14ac:dyDescent="0.25">
      <c r="A85" s="5" t="s">
        <v>71</v>
      </c>
      <c r="B85" s="1" t="s">
        <v>91</v>
      </c>
      <c r="C85" s="1" t="s">
        <v>91</v>
      </c>
      <c r="D85" s="1" t="s">
        <v>91</v>
      </c>
      <c r="E85" s="1" t="s">
        <v>91</v>
      </c>
      <c r="F85" s="1" t="s">
        <v>91</v>
      </c>
      <c r="G85" s="1" t="s">
        <v>91</v>
      </c>
      <c r="H85" s="1" t="s">
        <v>91</v>
      </c>
      <c r="I85" s="1" t="s">
        <v>91</v>
      </c>
      <c r="J85" s="1" t="s">
        <v>91</v>
      </c>
      <c r="K85" s="46"/>
      <c r="L85" s="46"/>
      <c r="M85" s="46"/>
      <c r="N85" s="46"/>
      <c r="O85" s="46"/>
      <c r="P85" s="46"/>
      <c r="Q85" s="75" t="s">
        <v>125</v>
      </c>
      <c r="R85" s="75"/>
    </row>
    <row r="86" spans="1:19" ht="20" x14ac:dyDescent="0.25">
      <c r="A86" s="5" t="s">
        <v>72</v>
      </c>
      <c r="B86" s="1">
        <v>1501000</v>
      </c>
      <c r="C86" s="1">
        <v>-149000</v>
      </c>
      <c r="D86" s="1">
        <v>8563000</v>
      </c>
      <c r="E86" s="1">
        <v>-19794000</v>
      </c>
      <c r="F86" s="1">
        <v>19164000</v>
      </c>
      <c r="G86" s="1">
        <v>-444000</v>
      </c>
      <c r="H86" s="1">
        <v>32857000</v>
      </c>
      <c r="I86" s="1">
        <v>-13912000</v>
      </c>
      <c r="J86" s="1"/>
      <c r="K86" s="46"/>
      <c r="L86" s="46"/>
      <c r="M86" s="46"/>
      <c r="N86" s="46"/>
      <c r="O86" s="46"/>
      <c r="P86" s="46"/>
      <c r="Q86" s="39" t="s">
        <v>126</v>
      </c>
      <c r="R86" s="47">
        <f>J17</f>
        <v>11963000</v>
      </c>
    </row>
    <row r="87" spans="1:19" ht="20" x14ac:dyDescent="0.25">
      <c r="A87" s="6" t="s">
        <v>73</v>
      </c>
      <c r="B87" s="10">
        <v>145781000</v>
      </c>
      <c r="C87" s="10">
        <v>138398000</v>
      </c>
      <c r="D87" s="10">
        <v>189565000</v>
      </c>
      <c r="E87" s="10">
        <v>200612000</v>
      </c>
      <c r="F87" s="10">
        <v>384005000</v>
      </c>
      <c r="G87" s="10">
        <v>529455000</v>
      </c>
      <c r="H87" s="10">
        <v>1016647000</v>
      </c>
      <c r="I87" s="10">
        <v>1820146000</v>
      </c>
      <c r="J87" s="10">
        <v>2029379000</v>
      </c>
      <c r="K87" s="46"/>
      <c r="L87" s="46"/>
      <c r="M87" s="46"/>
      <c r="N87" s="46"/>
      <c r="O87" s="46"/>
      <c r="P87" s="46"/>
      <c r="Q87" s="39" t="s">
        <v>127</v>
      </c>
      <c r="R87" s="47">
        <f>J56</f>
        <v>33200000</v>
      </c>
    </row>
    <row r="88" spans="1:19" ht="20" x14ac:dyDescent="0.25">
      <c r="A88" s="5" t="s">
        <v>74</v>
      </c>
      <c r="B88" s="1">
        <v>-3353000</v>
      </c>
      <c r="C88" s="1">
        <v>-5236000</v>
      </c>
      <c r="D88" s="1">
        <v>-10537000</v>
      </c>
      <c r="E88" s="1">
        <v>-9685000</v>
      </c>
      <c r="F88" s="1">
        <v>-11041000</v>
      </c>
      <c r="G88" s="1">
        <v>-15186000</v>
      </c>
      <c r="H88" s="1">
        <v>-17097000</v>
      </c>
      <c r="I88" s="1">
        <v>-51387000</v>
      </c>
      <c r="J88" s="1">
        <v>-95575000</v>
      </c>
      <c r="K88" s="46"/>
      <c r="L88" s="46"/>
      <c r="M88" s="46"/>
      <c r="N88" s="46"/>
      <c r="O88" s="46"/>
      <c r="P88" s="46"/>
      <c r="Q88" s="39" t="s">
        <v>128</v>
      </c>
      <c r="R88" s="47">
        <f>J61</f>
        <v>169873000</v>
      </c>
    </row>
    <row r="89" spans="1:19"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K89" s="46"/>
      <c r="L89" s="46"/>
      <c r="M89" s="46"/>
      <c r="N89" s="46"/>
      <c r="O89" s="46"/>
      <c r="P89" s="46"/>
      <c r="Q89" s="40" t="s">
        <v>129</v>
      </c>
      <c r="R89" s="48">
        <f>R86/(R87+R88)</f>
        <v>5.8909850152408245E-2</v>
      </c>
    </row>
    <row r="90" spans="1:19" ht="20" x14ac:dyDescent="0.25">
      <c r="A90" s="5" t="s">
        <v>75</v>
      </c>
      <c r="B90" s="1" t="s">
        <v>91</v>
      </c>
      <c r="C90" s="1" t="s">
        <v>91</v>
      </c>
      <c r="D90" s="1" t="s">
        <v>91</v>
      </c>
      <c r="E90" s="1" t="s">
        <v>91</v>
      </c>
      <c r="F90" s="1" t="s">
        <v>91</v>
      </c>
      <c r="G90" s="1" t="s">
        <v>91</v>
      </c>
      <c r="H90" s="1" t="s">
        <v>91</v>
      </c>
      <c r="I90" s="1" t="s">
        <v>91</v>
      </c>
      <c r="J90" s="1" t="s">
        <v>91</v>
      </c>
      <c r="K90" s="46"/>
      <c r="L90" s="46"/>
      <c r="M90" s="46"/>
      <c r="N90" s="46"/>
      <c r="O90" s="46"/>
      <c r="P90" s="46"/>
      <c r="Q90" s="39" t="s">
        <v>105</v>
      </c>
      <c r="R90" s="47">
        <f>J27</f>
        <v>149690000</v>
      </c>
    </row>
    <row r="91" spans="1:19" ht="20" x14ac:dyDescent="0.25">
      <c r="A91" s="5" t="s">
        <v>76</v>
      </c>
      <c r="B91" s="1" t="s">
        <v>91</v>
      </c>
      <c r="C91" s="1" t="s">
        <v>91</v>
      </c>
      <c r="D91" s="1" t="s">
        <v>91</v>
      </c>
      <c r="E91" s="1">
        <v>-6989000</v>
      </c>
      <c r="F91" s="1">
        <v>-9607000</v>
      </c>
      <c r="G91" s="1">
        <v>-10073000</v>
      </c>
      <c r="H91" s="1">
        <v>-13355000</v>
      </c>
      <c r="I91" s="1">
        <v>-211000</v>
      </c>
      <c r="J91" s="1">
        <v>0</v>
      </c>
      <c r="K91" s="46"/>
      <c r="L91" s="46"/>
      <c r="M91" s="46"/>
      <c r="N91" s="46"/>
      <c r="O91" s="46"/>
      <c r="P91" s="46"/>
      <c r="Q91" s="39" t="s">
        <v>19</v>
      </c>
      <c r="R91" s="47">
        <f>J25</f>
        <v>653424000</v>
      </c>
      <c r="S91" t="e" vm="2">
        <v>#VALUE!</v>
      </c>
    </row>
    <row r="92" spans="1:19" ht="20" x14ac:dyDescent="0.25">
      <c r="A92" s="5" t="s">
        <v>77</v>
      </c>
      <c r="B92" s="1" t="s">
        <v>91</v>
      </c>
      <c r="C92" s="1" t="s">
        <v>91</v>
      </c>
      <c r="D92" s="1" t="s">
        <v>91</v>
      </c>
      <c r="E92" s="1" t="s">
        <v>91</v>
      </c>
      <c r="F92" s="1">
        <v>6989000</v>
      </c>
      <c r="G92" s="1">
        <v>7275000</v>
      </c>
      <c r="H92" s="1">
        <v>13088000</v>
      </c>
      <c r="I92" s="1">
        <v>12427000</v>
      </c>
      <c r="J92" s="1">
        <v>0</v>
      </c>
      <c r="K92" s="46"/>
      <c r="L92" s="46"/>
      <c r="M92" s="46"/>
      <c r="N92" s="46"/>
      <c r="O92" s="46"/>
      <c r="P92" s="46"/>
      <c r="Q92" s="40" t="s">
        <v>130</v>
      </c>
      <c r="R92" s="48">
        <f>R90/R91</f>
        <v>0.22908555547393422</v>
      </c>
      <c r="S92" s="44" cm="1">
        <f t="array" ref="S92">_FV(S91,"Price")</f>
        <v>0.94640000000000002</v>
      </c>
    </row>
    <row r="93" spans="1:19" ht="19" customHeight="1" x14ac:dyDescent="0.25">
      <c r="A93" s="5" t="s">
        <v>78</v>
      </c>
      <c r="B93" s="1">
        <v>-1180000</v>
      </c>
      <c r="C93" s="1">
        <v>-1626000</v>
      </c>
      <c r="D93" s="1">
        <v>-1923000</v>
      </c>
      <c r="E93" s="1">
        <v>-1273000</v>
      </c>
      <c r="F93" s="1">
        <v>-2769000</v>
      </c>
      <c r="G93" s="1">
        <v>-4773000</v>
      </c>
      <c r="H93" s="1">
        <v>-4795000</v>
      </c>
      <c r="I93" s="1">
        <v>-2959000</v>
      </c>
      <c r="J93" s="1">
        <v>-3523000</v>
      </c>
      <c r="K93" s="46"/>
      <c r="L93" s="46"/>
      <c r="M93" s="46"/>
      <c r="N93" s="46"/>
      <c r="O93" s="46"/>
      <c r="P93" s="46"/>
      <c r="Q93" s="40" t="s">
        <v>131</v>
      </c>
      <c r="R93" s="48">
        <f>R89*(1-R92)</f>
        <v>4.5414454407357578E-2</v>
      </c>
    </row>
    <row r="94" spans="1:19" ht="20" customHeight="1" x14ac:dyDescent="0.25">
      <c r="A94" s="6" t="s">
        <v>79</v>
      </c>
      <c r="B94" s="10">
        <v>-4533000</v>
      </c>
      <c r="C94" s="10">
        <v>-6862000</v>
      </c>
      <c r="D94" s="10">
        <v>-12460000</v>
      </c>
      <c r="E94" s="10">
        <v>-17947000</v>
      </c>
      <c r="F94" s="10">
        <v>-16428000</v>
      </c>
      <c r="G94" s="10">
        <v>-22757000</v>
      </c>
      <c r="H94" s="10">
        <v>-22159000</v>
      </c>
      <c r="I94" s="10">
        <v>-42130000</v>
      </c>
      <c r="J94" s="10">
        <v>-87691000</v>
      </c>
      <c r="K94" s="46"/>
      <c r="L94" s="46"/>
      <c r="M94" s="46"/>
      <c r="N94" s="46"/>
      <c r="O94" s="46"/>
      <c r="P94" s="46"/>
      <c r="Q94" s="75" t="s">
        <v>132</v>
      </c>
      <c r="R94" s="75"/>
    </row>
    <row r="95" spans="1:19" ht="20" x14ac:dyDescent="0.25">
      <c r="A95" s="5" t="s">
        <v>80</v>
      </c>
      <c r="B95" s="1" t="s">
        <v>91</v>
      </c>
      <c r="C95" s="1" t="s">
        <v>91</v>
      </c>
      <c r="D95" s="1" t="s">
        <v>91</v>
      </c>
      <c r="E95" s="1" t="s">
        <v>91</v>
      </c>
      <c r="F95" s="1" t="s">
        <v>91</v>
      </c>
      <c r="G95" s="1" t="s">
        <v>91</v>
      </c>
      <c r="H95" s="1" t="s">
        <v>91</v>
      </c>
      <c r="I95" s="1" t="s">
        <v>91</v>
      </c>
      <c r="J95" s="1" t="s">
        <v>91</v>
      </c>
      <c r="K95" s="46"/>
      <c r="L95" s="46"/>
      <c r="M95" s="46"/>
      <c r="N95" s="46"/>
      <c r="O95" s="46"/>
      <c r="P95" s="46"/>
      <c r="Q95" s="39" t="s">
        <v>133</v>
      </c>
      <c r="R95" s="69">
        <f>'[1]US Treasury Bonds'!$C$8</f>
        <v>4.845E-2</v>
      </c>
    </row>
    <row r="96" spans="1:19" ht="20" x14ac:dyDescent="0.25">
      <c r="A96" s="5" t="s">
        <v>81</v>
      </c>
      <c r="B96" s="1">
        <v>96717000</v>
      </c>
      <c r="C96" s="1">
        <v>39981000</v>
      </c>
      <c r="D96" s="1">
        <v>172000</v>
      </c>
      <c r="E96" s="1">
        <v>984000</v>
      </c>
      <c r="F96" s="1">
        <v>36153000</v>
      </c>
      <c r="G96" s="1">
        <v>37613000</v>
      </c>
      <c r="H96" s="1">
        <v>12832000</v>
      </c>
      <c r="I96" s="1">
        <v>105285000</v>
      </c>
      <c r="J96" s="1">
        <v>9926000</v>
      </c>
      <c r="K96" s="46"/>
      <c r="L96" s="46"/>
      <c r="M96" s="46"/>
      <c r="N96" s="46"/>
      <c r="O96" s="46"/>
      <c r="P96" s="46"/>
      <c r="Q96" s="39" t="s">
        <v>134</v>
      </c>
      <c r="R96" s="50" cm="1">
        <f t="array" ref="R96">_FV(A1,"Beta")</f>
        <v>1.5690999999999999</v>
      </c>
    </row>
    <row r="97" spans="1:18" ht="20" x14ac:dyDescent="0.25">
      <c r="A97" s="5" t="s">
        <v>82</v>
      </c>
      <c r="B97" s="1" t="s">
        <v>91</v>
      </c>
      <c r="C97" s="1" t="s">
        <v>91</v>
      </c>
      <c r="D97" s="1" t="s">
        <v>91</v>
      </c>
      <c r="E97" s="1" t="s">
        <v>91</v>
      </c>
      <c r="F97" s="1">
        <v>-31035000</v>
      </c>
      <c r="G97" s="1">
        <v>-18323000</v>
      </c>
      <c r="H97" s="1" t="s">
        <v>91</v>
      </c>
      <c r="I97" s="1" t="s">
        <v>91</v>
      </c>
      <c r="J97" s="1" t="s">
        <v>91</v>
      </c>
      <c r="K97" s="46"/>
      <c r="L97" s="46"/>
      <c r="M97" s="46"/>
      <c r="N97" s="46"/>
      <c r="O97" s="46"/>
      <c r="P97" s="46"/>
      <c r="Q97" s="39" t="s">
        <v>135</v>
      </c>
      <c r="R97" s="49">
        <v>8.4000000000000005E-2</v>
      </c>
    </row>
    <row r="98" spans="1:18" ht="19" customHeight="1" x14ac:dyDescent="0.25">
      <c r="A98" s="5" t="s">
        <v>83</v>
      </c>
      <c r="B98" s="1" t="s">
        <v>91</v>
      </c>
      <c r="C98" s="1" t="s">
        <v>91</v>
      </c>
      <c r="D98" s="1" t="s">
        <v>91</v>
      </c>
      <c r="E98" s="1" t="s">
        <v>91</v>
      </c>
      <c r="F98" s="1" t="s">
        <v>91</v>
      </c>
      <c r="G98" s="1" t="s">
        <v>91</v>
      </c>
      <c r="H98" s="1" t="s">
        <v>91</v>
      </c>
      <c r="I98" s="1" t="s">
        <v>91</v>
      </c>
      <c r="J98" s="1">
        <v>0</v>
      </c>
      <c r="K98" s="46"/>
      <c r="L98" s="46"/>
      <c r="M98" s="46"/>
      <c r="N98" s="46"/>
      <c r="O98" s="46"/>
      <c r="P98" s="46"/>
      <c r="Q98" s="40" t="s">
        <v>136</v>
      </c>
      <c r="R98" s="48">
        <f>(R95)+((R96)*(R97-R95))</f>
        <v>0.104231505</v>
      </c>
    </row>
    <row r="99" spans="1:18" ht="20" customHeight="1" x14ac:dyDescent="0.25">
      <c r="A99" s="5" t="s">
        <v>84</v>
      </c>
      <c r="B99" s="1" t="s">
        <v>91</v>
      </c>
      <c r="C99" s="1" t="s">
        <v>91</v>
      </c>
      <c r="D99" s="1" t="s">
        <v>91</v>
      </c>
      <c r="E99" s="1" t="s">
        <v>91</v>
      </c>
      <c r="F99" s="1" t="s">
        <v>91</v>
      </c>
      <c r="G99" s="1">
        <v>-9932000</v>
      </c>
      <c r="H99" s="1">
        <v>-9439000</v>
      </c>
      <c r="I99" s="1">
        <v>-9045000</v>
      </c>
      <c r="J99" s="1">
        <v>-22144000</v>
      </c>
      <c r="K99" s="46"/>
      <c r="L99" s="46"/>
      <c r="M99" s="46"/>
      <c r="N99" s="46"/>
      <c r="O99" s="46"/>
      <c r="P99" s="46"/>
      <c r="Q99" s="75" t="s">
        <v>137</v>
      </c>
      <c r="R99" s="75"/>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K100" s="46"/>
      <c r="L100" s="46"/>
      <c r="M100" s="46"/>
      <c r="N100" s="46"/>
      <c r="O100" s="46"/>
      <c r="P100" s="46"/>
      <c r="Q100" s="39" t="s">
        <v>138</v>
      </c>
      <c r="R100" s="47">
        <f>R87+R88</f>
        <v>203073000</v>
      </c>
    </row>
    <row r="101" spans="1:18" ht="20" x14ac:dyDescent="0.25">
      <c r="A101" s="5" t="s">
        <v>86</v>
      </c>
      <c r="B101" s="1">
        <v>134000</v>
      </c>
      <c r="C101" s="1">
        <v>-85000</v>
      </c>
      <c r="D101" s="1">
        <v>472000</v>
      </c>
      <c r="E101" s="1">
        <v>-786000</v>
      </c>
      <c r="F101" s="1">
        <v>-3709000</v>
      </c>
      <c r="G101" s="1">
        <v>-2584000</v>
      </c>
      <c r="H101" s="1">
        <v>-5783000</v>
      </c>
      <c r="I101" s="1">
        <v>4352000</v>
      </c>
      <c r="J101" s="1">
        <v>-14998000</v>
      </c>
      <c r="K101" s="46"/>
      <c r="L101" s="46"/>
      <c r="M101" s="46"/>
      <c r="N101" s="46"/>
      <c r="O101" s="46"/>
      <c r="P101" s="46"/>
      <c r="Q101" s="40" t="s">
        <v>139</v>
      </c>
      <c r="R101" s="48">
        <f>R100/R104</f>
        <v>1.0125358230300805E-2</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K102" s="46"/>
      <c r="L102" s="46"/>
      <c r="M102" s="46"/>
      <c r="N102" s="46"/>
      <c r="O102" s="46"/>
      <c r="P102" s="46"/>
      <c r="Q102" s="39" t="s">
        <v>140</v>
      </c>
      <c r="R102" s="51" cm="1">
        <f t="array" ref="R102">_FV(A1,"Market cap",TRUE)</f>
        <v>19852810000</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K103" s="46"/>
      <c r="L103" s="46"/>
      <c r="M103" s="46"/>
      <c r="N103" s="46"/>
      <c r="O103" s="46"/>
      <c r="P103" s="46"/>
      <c r="Q103" s="40" t="s">
        <v>141</v>
      </c>
      <c r="R103" s="48">
        <f>R102/R104</f>
        <v>0.98987464176969919</v>
      </c>
    </row>
    <row r="104" spans="1:18" ht="20" customHeight="1"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K104" s="77" t="s">
        <v>114</v>
      </c>
      <c r="L104" s="77"/>
      <c r="M104" s="77"/>
      <c r="N104" s="77"/>
      <c r="O104" s="77"/>
      <c r="P104" s="46"/>
      <c r="Q104" s="40" t="s">
        <v>142</v>
      </c>
      <c r="R104" s="52">
        <f>R100+R102</f>
        <v>20055883000</v>
      </c>
    </row>
    <row r="105" spans="1:18" ht="21" customHeight="1" thickTop="1" x14ac:dyDescent="0.25">
      <c r="A105" s="14" t="s">
        <v>160</v>
      </c>
      <c r="B105" s="1">
        <f t="shared" ref="B105:J105" si="20">(B22*(1-$R$92))+B77+B88+B81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 t="shared" si="20"/>
        <v>1903445558.4153628</v>
      </c>
      <c r="K105" s="71">
        <f>K107/K3</f>
        <v>4.624491305956345E-2</v>
      </c>
      <c r="L105" s="71">
        <f>L107/L3</f>
        <v>6.2997928527457114E-2</v>
      </c>
      <c r="M105" s="71">
        <f>M107/M3</f>
        <v>6.8217722233323536E-2</v>
      </c>
      <c r="N105" s="71">
        <f>N107/N3</f>
        <v>7.498302020344956E-2</v>
      </c>
      <c r="O105" s="71">
        <f>O107/O3</f>
        <v>7.3106854624275242E-2</v>
      </c>
      <c r="P105" s="72" t="s">
        <v>165</v>
      </c>
      <c r="Q105" s="75" t="s">
        <v>143</v>
      </c>
      <c r="R105" s="75"/>
    </row>
    <row r="106" spans="1:18" ht="20" x14ac:dyDescent="0.25">
      <c r="A106" s="14" t="s">
        <v>161</v>
      </c>
      <c r="B106" s="1"/>
      <c r="C106" s="15">
        <f t="shared" ref="C106:J106" si="21">(C107/B107)-1</f>
        <v>-6.7140415452153546E-2</v>
      </c>
      <c r="D106" s="15">
        <f t="shared" si="21"/>
        <v>0.34593571341685925</v>
      </c>
      <c r="E106" s="15">
        <f t="shared" si="21"/>
        <v>7.0854444500929148E-2</v>
      </c>
      <c r="F106" s="15">
        <f t="shared" si="21"/>
        <v>0.95268035636106618</v>
      </c>
      <c r="G106" s="15">
        <f t="shared" si="21"/>
        <v>0.37629087372871051</v>
      </c>
      <c r="H106" s="15">
        <f t="shared" si="21"/>
        <v>0.95242945970135184</v>
      </c>
      <c r="I106" s="15">
        <f t="shared" si="21"/>
        <v>0.77511045433297654</v>
      </c>
      <c r="J106" s="15">
        <f t="shared" si="21"/>
        <v>0.13206478649903719</v>
      </c>
      <c r="K106" s="54">
        <f>(K107/J107)-1</f>
        <v>-0.74987493746873435</v>
      </c>
      <c r="L106" s="54">
        <f>(L107/K107)-1</f>
        <v>0.6823999999999999</v>
      </c>
      <c r="M106" s="54">
        <f>(M107/L107)-1</f>
        <v>0.36115073704232059</v>
      </c>
      <c r="N106" s="54">
        <f>(N107/M107)-1</f>
        <v>0.38165938864628823</v>
      </c>
      <c r="O106" s="54">
        <f>(O107/N107)-1</f>
        <v>0.13780025284450059</v>
      </c>
      <c r="P106" s="55">
        <f>SUM(K106:O106)/5</f>
        <v>0.162627088212875</v>
      </c>
      <c r="Q106" s="41" t="s">
        <v>106</v>
      </c>
      <c r="R106" s="56">
        <f>(R101*R93)+(R103*R98)</f>
        <v>0.10363596129269978</v>
      </c>
    </row>
    <row r="107" spans="1:18" ht="19" x14ac:dyDescent="0.25">
      <c r="A107" s="36" t="s">
        <v>162</v>
      </c>
      <c r="B107" s="1">
        <v>141003000</v>
      </c>
      <c r="C107" s="1">
        <v>131536000</v>
      </c>
      <c r="D107" s="1">
        <v>177039000</v>
      </c>
      <c r="E107" s="1">
        <v>189583000</v>
      </c>
      <c r="F107" s="1">
        <v>370195000</v>
      </c>
      <c r="G107" s="1">
        <v>509496000</v>
      </c>
      <c r="H107" s="1">
        <v>994755000</v>
      </c>
      <c r="I107" s="1">
        <v>1765800000</v>
      </c>
      <c r="J107" s="1">
        <v>1999000000</v>
      </c>
      <c r="K107" s="57">
        <v>500000000</v>
      </c>
      <c r="L107" s="57">
        <v>841200000</v>
      </c>
      <c r="M107" s="57">
        <v>1145000000</v>
      </c>
      <c r="N107" s="57">
        <v>1582000000</v>
      </c>
      <c r="O107" s="57">
        <v>1800000000</v>
      </c>
      <c r="P107" s="53" t="s">
        <v>163</v>
      </c>
      <c r="Q107" s="58" t="s">
        <v>144</v>
      </c>
      <c r="R107" s="42">
        <f>(SUM(K4:O4)/5)</f>
        <v>0.22519664691845404</v>
      </c>
    </row>
    <row r="108" spans="1:18" ht="19" x14ac:dyDescent="0.2">
      <c r="K108" s="70"/>
      <c r="L108" s="70"/>
      <c r="M108" s="70"/>
      <c r="N108" s="70"/>
      <c r="O108" s="59">
        <f>O107*(1+R108)/(R109-R108)</f>
        <v>23462547792.002148</v>
      </c>
      <c r="P108" s="60" t="s">
        <v>145</v>
      </c>
      <c r="Q108" s="61" t="s">
        <v>146</v>
      </c>
      <c r="R108" s="43">
        <v>2.5000000000000001E-2</v>
      </c>
    </row>
    <row r="109" spans="1:18" ht="19" x14ac:dyDescent="0.2">
      <c r="K109" s="59">
        <f t="shared" ref="K109:N109" si="22">K108+K107</f>
        <v>500000000</v>
      </c>
      <c r="L109" s="59">
        <f t="shared" si="22"/>
        <v>841200000</v>
      </c>
      <c r="M109" s="59">
        <f t="shared" si="22"/>
        <v>1145000000</v>
      </c>
      <c r="N109" s="59">
        <f t="shared" si="22"/>
        <v>1582000000</v>
      </c>
      <c r="O109" s="59">
        <f>O108+O107</f>
        <v>25262547792.002148</v>
      </c>
      <c r="P109" s="60" t="s">
        <v>142</v>
      </c>
      <c r="Q109" s="62" t="s">
        <v>147</v>
      </c>
      <c r="R109" s="42">
        <f>R106</f>
        <v>0.10363596129269978</v>
      </c>
    </row>
    <row r="110" spans="1:18" ht="19" x14ac:dyDescent="0.2">
      <c r="K110" s="76" t="s">
        <v>148</v>
      </c>
      <c r="L110" s="76"/>
      <c r="M110" s="46"/>
      <c r="N110" s="46"/>
      <c r="O110" s="46"/>
      <c r="P110" s="46"/>
      <c r="Q110" s="46"/>
      <c r="R110" s="46"/>
    </row>
    <row r="111" spans="1:18" ht="20" x14ac:dyDescent="0.2">
      <c r="K111" s="63" t="s">
        <v>149</v>
      </c>
      <c r="L111" s="51">
        <f>NPV(R109,K109,L109,M109,N109,O109)</f>
        <v>18491181240.261669</v>
      </c>
      <c r="M111" s="46"/>
      <c r="N111" s="46"/>
      <c r="O111" s="46"/>
      <c r="P111" s="46"/>
      <c r="Q111" s="46"/>
      <c r="R111" s="46"/>
    </row>
    <row r="112" spans="1:18" ht="20" x14ac:dyDescent="0.2">
      <c r="K112" s="63" t="s">
        <v>150</v>
      </c>
      <c r="L112" s="51">
        <f>J40</f>
        <v>5964798000</v>
      </c>
      <c r="M112" s="46"/>
      <c r="N112" s="46"/>
      <c r="O112" s="46"/>
      <c r="P112" s="46"/>
      <c r="Q112" s="46"/>
      <c r="R112" s="46"/>
    </row>
    <row r="113" spans="11:18" ht="20" x14ac:dyDescent="0.2">
      <c r="K113" s="63" t="s">
        <v>138</v>
      </c>
      <c r="L113" s="51">
        <f>R100</f>
        <v>203073000</v>
      </c>
      <c r="M113" s="46"/>
      <c r="N113" s="46"/>
      <c r="O113" s="46"/>
      <c r="P113" s="46"/>
      <c r="Q113" s="46"/>
      <c r="R113" s="46"/>
    </row>
    <row r="114" spans="11:18" ht="20" x14ac:dyDescent="0.2">
      <c r="K114" s="63" t="s">
        <v>151</v>
      </c>
      <c r="L114" s="51">
        <f>L111+L112-L113</f>
        <v>24252906240.261669</v>
      </c>
      <c r="M114" s="46"/>
      <c r="N114" s="46"/>
      <c r="O114" s="46"/>
      <c r="P114" s="46"/>
      <c r="Q114" s="46"/>
      <c r="R114" s="46"/>
    </row>
    <row r="115" spans="11:18" ht="20" x14ac:dyDescent="0.2">
      <c r="K115" s="63" t="s">
        <v>152</v>
      </c>
      <c r="L115" s="63">
        <f>J34*(1+(5*P16))</f>
        <v>31444645.352630943</v>
      </c>
      <c r="M115" s="46"/>
      <c r="N115" s="46"/>
      <c r="O115" s="46"/>
      <c r="P115" s="46"/>
      <c r="Q115" s="46"/>
      <c r="R115" s="46"/>
    </row>
    <row r="116" spans="11:18" ht="20" x14ac:dyDescent="0.2">
      <c r="K116" s="64" t="s">
        <v>153</v>
      </c>
      <c r="L116" s="65">
        <f>L114/L115</f>
        <v>771.28891002844307</v>
      </c>
      <c r="M116" s="46"/>
      <c r="N116" s="46"/>
      <c r="O116" s="46"/>
      <c r="P116" s="46"/>
      <c r="Q116" s="46"/>
      <c r="R116" s="46"/>
    </row>
    <row r="117" spans="11:18" ht="20" x14ac:dyDescent="0.2">
      <c r="K117" s="63" t="s">
        <v>154</v>
      </c>
      <c r="L117" s="66" cm="1">
        <f t="array" ref="L117">_FV(A1,"Price")*S92</f>
        <v>605.69600000000003</v>
      </c>
      <c r="M117" s="46"/>
      <c r="N117" s="46"/>
      <c r="O117" s="46"/>
      <c r="P117" s="46"/>
      <c r="Q117" s="46"/>
      <c r="R117" s="46"/>
    </row>
    <row r="118" spans="11:18" ht="20" x14ac:dyDescent="0.2">
      <c r="K118" s="64" t="s">
        <v>155</v>
      </c>
      <c r="L118" s="67">
        <f>L116/L117-1</f>
        <v>0.27339277464015455</v>
      </c>
      <c r="M118" s="46"/>
      <c r="N118" s="46"/>
      <c r="O118" s="46"/>
      <c r="P118" s="46"/>
      <c r="Q118" s="46"/>
      <c r="R118" s="46"/>
    </row>
    <row r="119" spans="11:18" ht="20" x14ac:dyDescent="0.2">
      <c r="K119" s="64" t="s">
        <v>156</v>
      </c>
      <c r="L119" s="68" t="str">
        <f>IF(L116&gt;L117,"BUY","SELL")</f>
        <v>BUY</v>
      </c>
      <c r="M119" s="46"/>
      <c r="N119" s="46"/>
      <c r="O119" s="46"/>
      <c r="P119" s="46"/>
      <c r="Q119" s="46"/>
      <c r="R119" s="46"/>
    </row>
  </sheetData>
  <mergeCells count="7">
    <mergeCell ref="Q84:R84"/>
    <mergeCell ref="Q85:R85"/>
    <mergeCell ref="K110:L110"/>
    <mergeCell ref="K104:O104"/>
    <mergeCell ref="Q105:R105"/>
    <mergeCell ref="Q99:R99"/>
    <mergeCell ref="Q94:R9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7"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2023-03-14T03:06:16Z</dcterms:created>
  <dcterms:modified xsi:type="dcterms:W3CDTF">2023-10-30T07:00:23Z</dcterms:modified>
</cp:coreProperties>
</file>