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31565AF4-0BC9-FD47-9459-B539782CB317}"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107" i="1" l="1"/>
  <c r="L107" i="1"/>
  <c r="K107" i="1"/>
  <c r="J107" i="1"/>
  <c r="I107" i="1"/>
  <c r="J117" i="1"/>
  <c r="H36" i="1" a="1"/>
  <c r="H36" i="1" s="1"/>
  <c r="H37" i="1" s="1"/>
  <c r="N18" i="1" s="1"/>
  <c r="H35" i="1" a="1"/>
  <c r="H35" i="1" s="1"/>
  <c r="Q9" i="1"/>
  <c r="P9" i="1"/>
  <c r="O9" i="1"/>
  <c r="O24" i="1"/>
  <c r="H4" i="1"/>
  <c r="G4" i="1"/>
  <c r="F4" i="1"/>
  <c r="E4" i="1"/>
  <c r="D4" i="1"/>
  <c r="C4" i="1"/>
  <c r="M108" i="1"/>
  <c r="L108" i="1"/>
  <c r="K108" i="1"/>
  <c r="J108" i="1"/>
  <c r="I108" i="1"/>
  <c r="I32" i="1"/>
  <c r="J32" i="1"/>
  <c r="K32" i="1"/>
  <c r="L32" i="1"/>
  <c r="M32" i="1"/>
  <c r="H32" i="1"/>
  <c r="H31" i="1"/>
  <c r="I31" i="1"/>
  <c r="J31" i="1"/>
  <c r="K31" i="1"/>
  <c r="L31" i="1"/>
  <c r="M31" i="1"/>
  <c r="I22" i="1"/>
  <c r="J22" i="1"/>
  <c r="K22" i="1"/>
  <c r="L22" i="1"/>
  <c r="M22" i="1"/>
  <c r="I23" i="1"/>
  <c r="J23" i="1"/>
  <c r="K23" i="1"/>
  <c r="L23" i="1"/>
  <c r="M23" i="1"/>
  <c r="H23" i="1"/>
  <c r="I6" i="1"/>
  <c r="H108" i="1"/>
  <c r="H22" i="1"/>
  <c r="H6" i="1"/>
  <c r="J119" i="1" a="1"/>
  <c r="J119" i="1" s="1"/>
  <c r="P97" i="1" a="1"/>
  <c r="P97" i="1" s="1"/>
  <c r="P103" i="1" a="1"/>
  <c r="P103" i="1" s="1"/>
  <c r="Q24" i="1" s="1"/>
  <c r="N21" i="1"/>
  <c r="L6" i="1"/>
  <c r="M6" i="1"/>
  <c r="P15" i="1"/>
  <c r="J114" i="1"/>
  <c r="P88" i="1"/>
  <c r="P87" i="1"/>
  <c r="P92" i="1"/>
  <c r="P91" i="1"/>
  <c r="P89" i="1"/>
  <c r="D37" i="1"/>
  <c r="E37" i="1"/>
  <c r="F37" i="1"/>
  <c r="G37" i="1"/>
  <c r="C37" i="1"/>
  <c r="Q15" i="1"/>
  <c r="O15" i="1"/>
  <c r="N15" i="1"/>
  <c r="N9" i="1"/>
  <c r="K6" i="1"/>
  <c r="J6" i="1"/>
  <c r="G108" i="1"/>
  <c r="F108" i="1"/>
  <c r="E108" i="1"/>
  <c r="D108" i="1"/>
  <c r="C108" i="1"/>
  <c r="G91" i="1"/>
  <c r="F91" i="1"/>
  <c r="E91" i="1"/>
  <c r="D91" i="1"/>
  <c r="C91" i="1"/>
  <c r="B91" i="1"/>
  <c r="G82" i="1"/>
  <c r="F82" i="1"/>
  <c r="E82" i="1"/>
  <c r="D82" i="1"/>
  <c r="C82" i="1"/>
  <c r="B82" i="1"/>
  <c r="G31" i="1"/>
  <c r="F31" i="1"/>
  <c r="E31" i="1"/>
  <c r="D31" i="1"/>
  <c r="C31" i="1"/>
  <c r="G22" i="1"/>
  <c r="F22" i="1"/>
  <c r="E22" i="1"/>
  <c r="D22" i="1"/>
  <c r="C22" i="1"/>
  <c r="G15" i="1"/>
  <c r="F15" i="1"/>
  <c r="E15" i="1"/>
  <c r="D15" i="1"/>
  <c r="C15" i="1"/>
  <c r="B15" i="1"/>
  <c r="G11" i="1"/>
  <c r="F11" i="1"/>
  <c r="E11" i="1"/>
  <c r="D11" i="1"/>
  <c r="C11" i="1"/>
  <c r="B11" i="1"/>
  <c r="Q21" i="1" l="1"/>
  <c r="N108" i="1"/>
  <c r="N6" i="1"/>
  <c r="O6" i="1"/>
  <c r="Q18" i="1"/>
  <c r="P24" i="1"/>
  <c r="Q6" i="1"/>
  <c r="P21" i="1"/>
  <c r="P18" i="1"/>
  <c r="O21" i="1"/>
  <c r="P109" i="1"/>
  <c r="O18" i="1"/>
  <c r="P101" i="1"/>
  <c r="J115" i="1" s="1"/>
  <c r="Q12" i="1"/>
  <c r="N12" i="1"/>
  <c r="P90" i="1"/>
  <c r="O12" i="1"/>
  <c r="P6" i="1"/>
  <c r="P12" i="1"/>
  <c r="P93" i="1"/>
  <c r="P105" i="1"/>
  <c r="P104" i="1" s="1"/>
  <c r="G6" i="1"/>
  <c r="F6" i="1"/>
  <c r="E6" i="1"/>
  <c r="D6" i="1"/>
  <c r="C6" i="1"/>
  <c r="D107" i="1" l="1"/>
  <c r="E107" i="1"/>
  <c r="F107" i="1"/>
  <c r="G107" i="1"/>
  <c r="C107" i="1"/>
  <c r="B107" i="1"/>
  <c r="P94" i="1"/>
  <c r="J111" i="1"/>
  <c r="I111" i="1"/>
  <c r="K111" i="1"/>
  <c r="L111" i="1"/>
  <c r="P102" i="1"/>
  <c r="P96" i="1" l="1"/>
  <c r="P99" i="1" s="1"/>
  <c r="P107" i="1" s="1"/>
  <c r="P111" i="1" s="1"/>
  <c r="M110" i="1" s="1"/>
  <c r="M111" i="1" s="1"/>
  <c r="J113" i="1" s="1"/>
  <c r="J116" i="1" s="1"/>
  <c r="J118" i="1" s="1"/>
  <c r="J121" i="1" l="1"/>
  <c r="J120"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<sst xmlns="http://schemas.openxmlformats.org/spreadsheetml/2006/main" count="322" uniqueCount="171">
  <si>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</si>
  <si>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</si>
  <si>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</si>
  <si>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</si>
  <si>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</si>
  <si>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</si>
  <si>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</si>
  <si>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</si>
  <si>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</si>
  <si>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</si>
  <si>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</si>
  <si>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</si>
  <si>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</si>
  <si>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</si>
  <si>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</si>
  <si>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</si>
  <si>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</si>
  <si>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</si>
  <si>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</si>
  <si>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</si>
  <si>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</si>
  <si>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</si>
  <si>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</si>
  <si>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</si>
  <si>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</si>
  <si>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</si>
  <si>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</si>
  <si>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</si>
  <si>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</si>
  <si>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</si>
  <si>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</si>
  <si>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</si>
  <si>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</si>
  <si>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</si>
  <si>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</si>
  <si>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</si>
  <si>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</si>
  <si>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</si>
  <si>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</si>
  <si>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</si>
  <si>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</si>
  <si>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</si>
  <si>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</si>
  <si>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</si>
  <si>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</si>
  <si>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</si>
  <si>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</si>
  <si>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</si>
  <si>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</si>
  <si>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</si>
  <si>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</si>
  <si>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</si>
  <si>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</si>
  <si>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</si>
  <si>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</si>
  <si>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</si>
  <si>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</si>
  <si>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</si>
  <si>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</si>
  <si>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</si>
  <si>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</si>
  <si>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</si>
  <si>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</si>
  <si>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</si>
  <si>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</si>
  <si>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</si>
  <si>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</si>
  <si>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</si>
  <si>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</si>
  <si>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</si>
  <si>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</si>
  <si>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</si>
  <si>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</si>
  <si>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</si>
  <si>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</si>
  <si>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</si>
  <si>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</si>
  <si>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</si>
  <si>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</si>
  <si>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</si>
  <si>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</si>
  <si>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</si>
  <si>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</si>
  <si>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</si>
  <si>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</si>
  <si>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</si>
  <si>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</si>
  <si>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</si>
  <si>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</si>
  <si>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</si>
  <si>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</si>
  <si>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link</t>
  </si>
  <si>
    <t>- -</t>
  </si>
  <si>
    <t>Revenue Growth YoY</t>
  </si>
  <si>
    <t>R&amp;D as % of Revenue</t>
  </si>
  <si>
    <t>R&amp;D % of Rev</t>
  </si>
  <si>
    <t>SG&amp;A % of Rev</t>
  </si>
  <si>
    <t>SBC % of Revenue</t>
  </si>
  <si>
    <t>CAPEX % of Rev</t>
  </si>
  <si>
    <t>SG&amp;A as % of Revenue</t>
  </si>
  <si>
    <t>EBITDA Growth YoY</t>
  </si>
  <si>
    <t>Interest Expense</t>
  </si>
  <si>
    <t>Net Income Growth YoY</t>
  </si>
  <si>
    <t>Risk Free Rate</t>
  </si>
  <si>
    <t>SBC as % of Revenue</t>
  </si>
  <si>
    <t>CAPEX as % of Revenue</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</si>
  <si>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</si>
  <si>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</si>
  <si>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</si>
  <si>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</si>
  <si>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</si>
  <si>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</si>
  <si>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</si>
  <si>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</si>
  <si>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</si>
  <si>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</si>
  <si>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</si>
  <si>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</si>
  <si>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YoY</t>
  </si>
  <si>
    <t>Share Dilution (5yr)</t>
  </si>
  <si>
    <t>WACC</t>
  </si>
  <si>
    <t>Cost of Debt Calculation</t>
  </si>
  <si>
    <t>Short Term Debt</t>
  </si>
  <si>
    <t>Long Term Debt</t>
  </si>
  <si>
    <t>Cost of Debt</t>
  </si>
  <si>
    <t>Income Tax Expense</t>
  </si>
  <si>
    <t>Effective Tax Rate</t>
  </si>
  <si>
    <t>Cost of Debt*(1-t)</t>
  </si>
  <si>
    <t>Cost of Equity Calculation</t>
  </si>
  <si>
    <t>Beta</t>
  </si>
  <si>
    <t>Market Return</t>
  </si>
  <si>
    <t>Cost of Equity</t>
  </si>
  <si>
    <t>Weight of Debt + Equity Calculation</t>
  </si>
  <si>
    <t>Total Debt</t>
  </si>
  <si>
    <t>Weight of Debt</t>
  </si>
  <si>
    <t>Market Cap</t>
  </si>
  <si>
    <t>Weight of Equity</t>
  </si>
  <si>
    <t>Total</t>
  </si>
  <si>
    <t>WACC Calculation</t>
  </si>
  <si>
    <t>FCF Growth Rate</t>
  </si>
  <si>
    <t>Perpetual Growth Rate</t>
  </si>
  <si>
    <t>Terminal Value</t>
  </si>
  <si>
    <t>Assumptions</t>
  </si>
  <si>
    <t>Enterprise Value</t>
  </si>
  <si>
    <t>Equity Value</t>
  </si>
  <si>
    <t>Intrinsic Value</t>
  </si>
  <si>
    <t>Current Price</t>
  </si>
  <si>
    <t>Upside/Downside</t>
  </si>
  <si>
    <t>Buy/Sell</t>
  </si>
  <si>
    <t>Cash + Securities</t>
  </si>
  <si>
    <t>Discount Rate (WACC)</t>
  </si>
  <si>
    <t>Discounted Cash Flow Valuation</t>
  </si>
  <si>
    <t>Weighted Average Cost of Capital</t>
  </si>
  <si>
    <t>Gross Booking Value</t>
  </si>
  <si>
    <t>P/S</t>
  </si>
  <si>
    <t>P/E</t>
  </si>
  <si>
    <t>P/FCF</t>
  </si>
  <si>
    <t>Net Cash</t>
  </si>
  <si>
    <t>Forward P/S</t>
  </si>
  <si>
    <t xml:space="preserve"> Forward P/E</t>
  </si>
  <si>
    <t>Forward P/FCF</t>
  </si>
  <si>
    <t>Unlevered FCF Growth YoY</t>
  </si>
  <si>
    <t>Levered FCF</t>
  </si>
  <si>
    <t>Unlevered FCF</t>
  </si>
  <si>
    <t>Unlevered FCF Forecast</t>
  </si>
  <si>
    <t>Dividend Yield</t>
  </si>
  <si>
    <t>5Y Fwd FCF CAGR</t>
  </si>
  <si>
    <t>GBV YoY</t>
  </si>
  <si>
    <t>Forward FCF Yield</t>
  </si>
  <si>
    <t>5Y Fwd Income CAGR</t>
  </si>
  <si>
    <t>Shares (5% dilution)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</si>
</sst>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 \-\ \-"/>
    <numFmt numFmtId="165" formatCode="#.00%;\ \-#.00%;\ \-\ \-"/>
    <numFmt numFmtId="166" formatCode="#,##0.00_);\(#,##0.00\);\-\ \-"/>
    <numFmt numFmtId="167" formatCode="&quot;$&quot;#,##0.00"/>
    <numFmt numFmtId="168" formatCode="&quot;$&quot;#,##0"/>
    <numFmt numFmtId="169" formatCode="0.0"/>
    <numFmt numFmtId="170" formatCode="0.0%"/>
  </numFmts>
  <fonts count="18"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b/>
      <i/>
      <sz val="14"/>
      <color rgb="FF000000"/>
      <name val="Calibri"/>
      <family val="2"/>
    </font>
    <font>
      <i/>
      <sz val="14"/>
      <color rgb="FF000000"/>
      <name val="Calibri"/>
      <family val="2"/>
    </font>
    <font>
      <u/>
      <sz val="14"/>
      <color rgb="FF000000"/>
      <name val="Calibri"/>
      <family val="1"/>
    </font>
    <font>
      <sz val="14"/>
      <color rgb="FF000000"/>
      <name val="Calibri"/>
      <family val="2"/>
    </font>
    <font>
      <b/>
      <sz val="14"/>
      <color rgb="FF000000"/>
      <name val="Calibri"/>
      <family val="2"/>
    </font>
    <font>
      <b/>
      <sz val="16"/>
      <color rgb="FF000000"/>
      <name val="Calibri"/>
      <family val="2"/>
    </font>
    <font>
      <b/>
      <u/>
      <sz val="16"/>
      <color rgb="FF000000"/>
      <name val="Calibri"/>
      <family val="2"/>
    </font>
    <font>
      <sz val="12"/>
      <color rgb="FF000000"/>
      <name val="Calibri"/>
      <family val="2"/>
    </font>
    <font>
      <b/>
      <sz val="12"/>
      <color rgb="FF000000"/>
      <name val="Calibri"/>
      <family val="2"/>
    </font>
  </fonts>
  <fills count="8">
    <fill>
      <patternFill patternType="none"/>
    </fill>
    <fill>
      <patternFill patternType="gray125"/>
    </fill>
    <fill>
      <patternFill patternType="solid">
        <fgColor rgb="FFEEEEEE"/>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
      <patternFill patternType="solid">
        <fgColor rgb="FFB4C6E7"/>
        <bgColor rgb="FF000000"/>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88">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4" xfId="0" applyFont="1" applyBorder="1"/>
    <xf numFmtId="164" fontId="10" fillId="0" borderId="0" xfId="0" applyNumberFormat="1" applyFont="1"/>
    <xf numFmtId="9" fontId="10" fillId="0" borderId="0" xfId="0" applyNumberFormat="1" applyFont="1"/>
    <xf numFmtId="0" fontId="11" fillId="0" borderId="0" xfId="0" applyFont="1" applyAlignment="1">
      <alignment indent="1"/>
    </xf>
    <xf numFmtId="9" fontId="1" fillId="0" borderId="0" xfId="0" applyNumberFormat="1" applyFont="1"/>
    <xf numFmtId="9" fontId="12" fillId="0" borderId="5" xfId="0" applyNumberFormat="1" applyFont="1" applyBorder="1" applyAlignment="1">
      <alignment horizontal="center"/>
    </xf>
    <xf numFmtId="9" fontId="12" fillId="0" borderId="0" xfId="0" applyNumberFormat="1" applyFont="1" applyAlignment="1">
      <alignment horizontal="center"/>
    </xf>
    <xf numFmtId="0" fontId="13" fillId="3" borderId="5" xfId="0" applyFont="1" applyFill="1" applyBorder="1" applyAlignment="1">
      <alignment horizontal="center" vertical="center" wrapText="1"/>
    </xf>
    <xf numFmtId="9" fontId="12" fillId="0" borderId="6" xfId="0" applyNumberFormat="1" applyFont="1" applyBorder="1" applyAlignment="1">
      <alignment horizontal="center"/>
    </xf>
    <xf numFmtId="2" fontId="12" fillId="0" borderId="7" xfId="0" applyNumberFormat="1" applyFont="1" applyBorder="1" applyAlignment="1">
      <alignment horizontal="center"/>
    </xf>
    <xf numFmtId="37" fontId="1" fillId="0" borderId="0" xfId="0" applyNumberFormat="1" applyFont="1"/>
    <xf numFmtId="10" fontId="1" fillId="0" borderId="0" xfId="0" applyNumberFormat="1" applyFont="1"/>
    <xf numFmtId="0" fontId="0" fillId="0" borderId="0" xfId="0" applyAlignment="1">
      <alignment vertical="center"/>
    </xf>
    <xf numFmtId="9" fontId="12" fillId="0" borderId="8" xfId="0" applyNumberFormat="1" applyFont="1" applyBorder="1" applyAlignment="1">
      <alignment horizontal="center"/>
    </xf>
    <xf numFmtId="0" fontId="13" fillId="3" borderId="8" xfId="0" applyFont="1" applyFill="1" applyBorder="1" applyAlignment="1">
      <alignment horizontal="center" vertical="center" wrapText="1"/>
    </xf>
    <xf numFmtId="0" fontId="13" fillId="7" borderId="5" xfId="0" applyFont="1" applyFill="1" applyBorder="1" applyAlignment="1">
      <alignment horizontal="center" vertical="center" wrapText="1"/>
    </xf>
    <xf numFmtId="164" fontId="1" fillId="0" borderId="8" xfId="0" applyNumberFormat="1" applyFont="1" applyBorder="1" applyAlignment="1">
      <alignment horizontal="center"/>
    </xf>
    <xf numFmtId="0" fontId="9" fillId="3" borderId="8" xfId="0" applyFont="1" applyFill="1" applyBorder="1" applyAlignment="1">
      <alignment horizontal="center" vertical="center" wrapText="1"/>
    </xf>
    <xf numFmtId="0" fontId="9" fillId="3" borderId="5" xfId="0" applyFont="1" applyFill="1" applyBorder="1" applyAlignment="1">
      <alignment horizontal="center" vertical="center" wrapText="1"/>
    </xf>
    <xf numFmtId="0" fontId="9" fillId="7" borderId="8" xfId="0" applyFont="1" applyFill="1" applyBorder="1" applyAlignment="1">
      <alignment horizontal="center" vertical="center" wrapText="1"/>
    </xf>
    <xf numFmtId="164" fontId="6" fillId="0" borderId="0" xfId="0" applyNumberFormat="1" applyFont="1"/>
    <xf numFmtId="169" fontId="12" fillId="0" borderId="6" xfId="0" applyNumberFormat="1" applyFont="1" applyBorder="1" applyAlignment="1">
      <alignment horizontal="center"/>
    </xf>
    <xf numFmtId="169" fontId="12" fillId="0" borderId="9" xfId="0" applyNumberFormat="1" applyFont="1" applyBorder="1" applyAlignment="1">
      <alignment horizontal="center"/>
    </xf>
    <xf numFmtId="169" fontId="12" fillId="0" borderId="8" xfId="0" applyNumberFormat="1" applyFont="1" applyBorder="1" applyAlignment="1">
      <alignment horizontal="center"/>
    </xf>
    <xf numFmtId="164" fontId="9" fillId="0" borderId="3" xfId="0" applyNumberFormat="1" applyFont="1" applyBorder="1"/>
    <xf numFmtId="165" fontId="10" fillId="0" borderId="0" xfId="0" applyNumberFormat="1" applyFont="1"/>
    <xf numFmtId="166" fontId="10" fillId="0" borderId="0" xfId="0" applyNumberFormat="1" applyFont="1"/>
    <xf numFmtId="164" fontId="9" fillId="0" borderId="2" xfId="0" applyNumberFormat="1" applyFont="1" applyBorder="1"/>
    <xf numFmtId="165" fontId="10" fillId="0" borderId="10" xfId="0" applyNumberFormat="1" applyFont="1" applyBorder="1"/>
    <xf numFmtId="0" fontId="1" fillId="0" borderId="0" xfId="0" applyFont="1" applyAlignment="1">
      <alignment indent="1"/>
    </xf>
    <xf numFmtId="37" fontId="10" fillId="0" borderId="0" xfId="0" applyNumberFormat="1" applyFont="1"/>
    <xf numFmtId="0" fontId="12" fillId="5" borderId="0" xfId="0" applyFont="1" applyFill="1" applyAlignment="1">
      <alignment horizontal="left" vertical="center" wrapText="1"/>
    </xf>
    <xf numFmtId="0" fontId="13" fillId="5" borderId="0" xfId="0" applyFont="1" applyFill="1" applyAlignment="1">
      <alignment horizontal="left" vertical="center" wrapText="1"/>
    </xf>
    <xf numFmtId="0" fontId="13" fillId="3" borderId="0" xfId="0" applyFont="1" applyFill="1" applyAlignment="1">
      <alignment horizontal="left" vertical="center" wrapText="1"/>
    </xf>
    <xf numFmtId="10" fontId="1" fillId="5" borderId="0" xfId="0" applyNumberFormat="1" applyFont="1" applyFill="1" applyAlignment="1">
      <alignment horizontal="right" vertical="center"/>
    </xf>
    <xf numFmtId="10" fontId="1" fillId="6" borderId="0" xfId="0" applyNumberFormat="1" applyFont="1" applyFill="1" applyAlignment="1">
      <alignment horizontal="right" vertical="center"/>
    </xf>
    <xf numFmtId="0" fontId="13" fillId="7" borderId="8" xfId="0" applyFont="1" applyFill="1" applyBorder="1" applyAlignment="1">
      <alignment horizontal="center" vertical="center" wrapText="1"/>
    </xf>
    <xf numFmtId="170" fontId="12" fillId="0" borderId="9" xfId="0" applyNumberFormat="1" applyFont="1" applyBorder="1" applyAlignment="1">
      <alignment horizontal="center"/>
    </xf>
    <xf numFmtId="170" fontId="12" fillId="0" borderId="7" xfId="0" applyNumberFormat="1" applyFont="1" applyBorder="1" applyAlignment="1">
      <alignment horizontal="center"/>
    </xf>
    <xf numFmtId="0" fontId="17" fillId="7" borderId="8" xfId="0" applyFont="1" applyFill="1" applyBorder="1" applyAlignment="1">
      <alignment horizontal="center" vertical="center" wrapText="1"/>
    </xf>
    <xf numFmtId="9" fontId="12" fillId="0" borderId="9" xfId="0" applyNumberFormat="1" applyFont="1" applyBorder="1" applyAlignment="1">
      <alignment horizontal="center"/>
    </xf>
    <xf numFmtId="9" fontId="1" fillId="6" borderId="0" xfId="0" applyNumberFormat="1" applyFont="1" applyFill="1" applyAlignment="1">
      <alignment vertical="center"/>
    </xf>
    <xf numFmtId="9" fontId="1" fillId="6" borderId="0" xfId="0" applyNumberFormat="1" applyFont="1" applyFill="1" applyAlignment="1">
      <alignment horizontal="center" vertical="center"/>
    </xf>
    <xf numFmtId="164" fontId="12" fillId="5" borderId="0" xfId="0" applyNumberFormat="1" applyFont="1" applyFill="1" applyAlignment="1">
      <alignment vertical="center"/>
    </xf>
    <xf numFmtId="10" fontId="13" fillId="5" borderId="0" xfId="0" applyNumberFormat="1" applyFont="1" applyFill="1" applyAlignment="1">
      <alignment vertical="center"/>
    </xf>
    <xf numFmtId="9" fontId="1" fillId="0" borderId="0" xfId="0" applyNumberFormat="1" applyFont="1" applyAlignment="1">
      <alignment vertical="center"/>
    </xf>
    <xf numFmtId="10" fontId="12" fillId="5" borderId="0" xfId="0" applyNumberFormat="1" applyFont="1" applyFill="1" applyAlignment="1">
      <alignment vertical="center"/>
    </xf>
    <xf numFmtId="39" fontId="12" fillId="5" borderId="0" xfId="0" applyNumberFormat="1" applyFont="1" applyFill="1" applyAlignment="1">
      <alignment vertical="center"/>
    </xf>
    <xf numFmtId="164" fontId="1" fillId="5" borderId="0" xfId="0" applyNumberFormat="1" applyFont="1" applyFill="1" applyAlignment="1">
      <alignment vertical="center"/>
    </xf>
    <xf numFmtId="164" fontId="13" fillId="5" borderId="0" xfId="0" applyNumberFormat="1" applyFont="1" applyFill="1" applyAlignment="1">
      <alignment vertical="center"/>
    </xf>
    <xf numFmtId="0" fontId="0" fillId="5" borderId="0" xfId="0" applyFill="1" applyAlignment="1">
      <alignment vertical="center"/>
    </xf>
    <xf numFmtId="10" fontId="13" fillId="3" borderId="0" xfId="0" applyNumberFormat="1" applyFont="1" applyFill="1" applyAlignment="1">
      <alignment vertical="center"/>
    </xf>
    <xf numFmtId="164" fontId="10" fillId="6" borderId="0" xfId="0" applyNumberFormat="1" applyFont="1" applyFill="1" applyAlignment="1">
      <alignment vertical="center"/>
    </xf>
    <xf numFmtId="9" fontId="16" fillId="5" borderId="0" xfId="0" applyNumberFormat="1" applyFont="1" applyFill="1" applyAlignment="1">
      <alignment vertical="center" wrapText="1"/>
    </xf>
    <xf numFmtId="164" fontId="1" fillId="6" borderId="0" xfId="0" applyNumberFormat="1" applyFont="1" applyFill="1" applyAlignment="1">
      <alignment vertical="center"/>
    </xf>
    <xf numFmtId="0" fontId="0" fillId="5" borderId="0" xfId="0" applyFill="1" applyAlignment="1">
      <alignment horizontal="left" vertical="center"/>
    </xf>
    <xf numFmtId="0" fontId="16" fillId="6" borderId="0" xfId="0" applyFont="1" applyFill="1" applyAlignment="1">
      <alignment vertical="center" wrapText="1"/>
    </xf>
    <xf numFmtId="0" fontId="16" fillId="5" borderId="0" xfId="0" applyFont="1" applyFill="1" applyAlignment="1">
      <alignment vertical="center"/>
    </xf>
    <xf numFmtId="164" fontId="1" fillId="5" borderId="0" xfId="0" applyNumberFormat="1" applyFont="1" applyFill="1" applyAlignment="1">
      <alignment vertical="center" wrapText="1"/>
    </xf>
    <xf numFmtId="164" fontId="1" fillId="3" borderId="0" xfId="0" applyNumberFormat="1" applyFont="1" applyFill="1" applyAlignment="1">
      <alignment vertical="center" wrapText="1"/>
    </xf>
    <xf numFmtId="168" fontId="13" fillId="3" borderId="0" xfId="0" applyNumberFormat="1" applyFont="1" applyFill="1" applyAlignment="1">
      <alignment vertical="center"/>
    </xf>
    <xf numFmtId="167" fontId="1" fillId="5" borderId="0" xfId="0" applyNumberFormat="1" applyFont="1" applyFill="1" applyAlignment="1">
      <alignment vertical="center"/>
    </xf>
    <xf numFmtId="9" fontId="13" fillId="3" borderId="0" xfId="1" applyFont="1" applyFill="1" applyBorder="1" applyAlignment="1">
      <alignment vertical="center"/>
    </xf>
    <xf numFmtId="0" fontId="13" fillId="3" borderId="0" xfId="0" applyFont="1" applyFill="1" applyAlignment="1">
      <alignment horizontal="right" vertical="center"/>
    </xf>
    <xf numFmtId="10" fontId="12" fillId="5" borderId="0" xfId="0" applyNumberFormat="1" applyFont="1" applyFill="1"/>
    <xf numFmtId="165" fontId="10" fillId="5" borderId="0" xfId="0" applyNumberFormat="1" applyFont="1" applyFill="1" applyAlignment="1">
      <alignment vertical="center"/>
    </xf>
    <xf numFmtId="0" fontId="0" fillId="5" borderId="0" xfId="0" applyFill="1" applyAlignment="1">
      <alignment horizontal="center" vertical="center"/>
    </xf>
    <xf numFmtId="0" fontId="0" fillId="6" borderId="0" xfId="0" applyFill="1" applyAlignment="1">
      <alignment vertical="center"/>
    </xf>
    <xf numFmtId="0" fontId="14" fillId="3" borderId="0" xfId="0" applyFont="1" applyFill="1" applyAlignment="1">
      <alignment horizontal="center" vertical="center"/>
    </xf>
    <xf numFmtId="0" fontId="15" fillId="3" borderId="0" xfId="0" applyFont="1" applyFill="1" applyAlignment="1">
      <alignment horizontal="center" vertical="center"/>
    </xf>
    <xf numFmtId="0" fontId="13" fillId="4" borderId="0" xfId="0" applyFont="1" applyFill="1" applyAlignment="1">
      <alignment horizontal="center" vertical="center" wrapText="1"/>
    </xf>
    <xf numFmtId="0" fontId="1" fillId="3" borderId="0" xfId="0" applyFont="1" applyFill="1" applyAlignment="1">
      <alignment horizontal="center" vertical="center"/>
    </xf>
    <xf numFmtId="165" fontId="12" fillId="5" borderId="0" xfId="0" applyNumberFormat="1" applyFont="1" applyFill="1" applyAlignment="1">
      <alignment horizontal="center" vertical="center"/>
    </xf>
    <xf numFmtId="9" fontId="1" fillId="3" borderId="0" xfId="0" applyNumberFormat="1" applyFont="1" applyFill="1" applyAlignment="1">
      <alignment horizontal="center"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Airbnb</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0.10817733990147782"/>
          <c:y val="0.15051920418344653"/>
          <c:w val="0.82088669950738913"/>
          <c:h val="0.6727777844563323"/>
        </c:manualLayout>
      </c:layout>
      <c:barChart>
        <c:barDir val="col"/>
        <c:grouping val="stacked"/>
        <c:varyColors val="0"/>
        <c:ser>
          <c:idx val="0"/>
          <c:order val="0"/>
          <c:tx>
            <c:strRef>
              <c:f>'Sheet 1'!$A$5</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numRef>
              <c:f>'Sheet 1'!$B$1:$M$1</c:f>
              <c:numCache>
                <c:formatCode>General</c:formatCode>
                <c:ptCount val="12"/>
                <c:pt idx="0">
                  <c:v>2017</c:v>
                </c:pt>
                <c:pt idx="1">
                  <c:v>2018</c:v>
                </c:pt>
                <c:pt idx="2">
                  <c:v>2019</c:v>
                </c:pt>
                <c:pt idx="3">
                  <c:v>2020</c:v>
                </c:pt>
                <c:pt idx="4">
                  <c:v>2021</c:v>
                </c:pt>
                <c:pt idx="5">
                  <c:v>2022</c:v>
                </c:pt>
                <c:pt idx="6">
                  <c:v>2023</c:v>
                </c:pt>
                <c:pt idx="7">
                  <c:v>2024</c:v>
                </c:pt>
                <c:pt idx="8">
                  <c:v>2025</c:v>
                </c:pt>
                <c:pt idx="9">
                  <c:v>2026</c:v>
                </c:pt>
                <c:pt idx="10">
                  <c:v>2027</c:v>
                </c:pt>
                <c:pt idx="11">
                  <c:v>2028</c:v>
                </c:pt>
              </c:numCache>
            </c:numRef>
          </c:cat>
          <c:val>
            <c:numRef>
              <c:f>'Sheet 1'!$B$5:$M$5</c:f>
              <c:numCache>
                <c:formatCode>#,###,,;\(#,###,,\);\ \-\ \-</c:formatCode>
                <c:ptCount val="12"/>
                <c:pt idx="0">
                  <c:v>2561721000</c:v>
                </c:pt>
                <c:pt idx="1">
                  <c:v>3651985000</c:v>
                </c:pt>
                <c:pt idx="2">
                  <c:v>4805239000</c:v>
                </c:pt>
                <c:pt idx="3">
                  <c:v>3378199000</c:v>
                </c:pt>
                <c:pt idx="4">
                  <c:v>5991760000</c:v>
                </c:pt>
                <c:pt idx="5">
                  <c:v>8399000000</c:v>
                </c:pt>
                <c:pt idx="6">
                  <c:v>9845000000</c:v>
                </c:pt>
                <c:pt idx="7">
                  <c:v>11131000000</c:v>
                </c:pt>
                <c:pt idx="8">
                  <c:v>12652000000</c:v>
                </c:pt>
                <c:pt idx="9">
                  <c:v>14335000000</c:v>
                </c:pt>
                <c:pt idx="10">
                  <c:v>16204000000</c:v>
                </c:pt>
                <c:pt idx="11">
                  <c:v>18663000000</c:v>
                </c:pt>
              </c:numCache>
            </c:numRef>
          </c:val>
          <c:extLst>
            <c:ext xmlns:c16="http://schemas.microsoft.com/office/drawing/2014/chart" uri="{C3380CC4-5D6E-409C-BE32-E72D297353CC}">
              <c16:uniqueId val="{00000000-4FF7-F84B-97F3-A2630AED0A87}"/>
            </c:ext>
          </c:extLst>
        </c:ser>
        <c:ser>
          <c:idx val="1"/>
          <c:order val="1"/>
          <c:tx>
            <c:strRef>
              <c:f>'Sheet 1'!$A$30</c:f>
              <c:strCache>
                <c:ptCount val="1"/>
                <c:pt idx="0">
                  <c:v>Net Income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numRef>
              <c:f>'Sheet 1'!$B$1:$M$1</c:f>
              <c:numCache>
                <c:formatCode>General</c:formatCode>
                <c:ptCount val="12"/>
                <c:pt idx="0">
                  <c:v>2017</c:v>
                </c:pt>
                <c:pt idx="1">
                  <c:v>2018</c:v>
                </c:pt>
                <c:pt idx="2">
                  <c:v>2019</c:v>
                </c:pt>
                <c:pt idx="3">
                  <c:v>2020</c:v>
                </c:pt>
                <c:pt idx="4">
                  <c:v>2021</c:v>
                </c:pt>
                <c:pt idx="5">
                  <c:v>2022</c:v>
                </c:pt>
                <c:pt idx="6">
                  <c:v>2023</c:v>
                </c:pt>
                <c:pt idx="7">
                  <c:v>2024</c:v>
                </c:pt>
                <c:pt idx="8">
                  <c:v>2025</c:v>
                </c:pt>
                <c:pt idx="9">
                  <c:v>2026</c:v>
                </c:pt>
                <c:pt idx="10">
                  <c:v>2027</c:v>
                </c:pt>
                <c:pt idx="11">
                  <c:v>2028</c:v>
                </c:pt>
              </c:numCache>
            </c:numRef>
          </c:cat>
          <c:val>
            <c:numRef>
              <c:f>'Sheet 1'!$B$30:$M$30</c:f>
              <c:numCache>
                <c:formatCode>#,###,,;\(#,###,,\);\ \-\ \-</c:formatCode>
                <c:ptCount val="12"/>
                <c:pt idx="0">
                  <c:v>-70046000</c:v>
                </c:pt>
                <c:pt idx="1">
                  <c:v>-16860000</c:v>
                </c:pt>
                <c:pt idx="2">
                  <c:v>-674339000</c:v>
                </c:pt>
                <c:pt idx="3">
                  <c:v>-4584716000</c:v>
                </c:pt>
                <c:pt idx="4">
                  <c:v>-352034000</c:v>
                </c:pt>
                <c:pt idx="5">
                  <c:v>1893000000</c:v>
                </c:pt>
                <c:pt idx="6">
                  <c:v>2673000000</c:v>
                </c:pt>
                <c:pt idx="7">
                  <c:v>2901000000</c:v>
                </c:pt>
                <c:pt idx="8">
                  <c:v>3372000000</c:v>
                </c:pt>
                <c:pt idx="9">
                  <c:v>4201000000</c:v>
                </c:pt>
                <c:pt idx="10">
                  <c:v>5195000000</c:v>
                </c:pt>
                <c:pt idx="11">
                  <c:v>6122000000</c:v>
                </c:pt>
              </c:numCache>
            </c:numRef>
          </c:val>
          <c:extLst>
            <c:ext xmlns:c16="http://schemas.microsoft.com/office/drawing/2014/chart" uri="{C3380CC4-5D6E-409C-BE32-E72D297353CC}">
              <c16:uniqueId val="{00000001-4FF7-F84B-97F3-A2630AED0A87}"/>
            </c:ext>
          </c:extLst>
        </c:ser>
        <c:ser>
          <c:idx val="2"/>
          <c:order val="2"/>
          <c:tx>
            <c:strRef>
              <c:f>'Sheet 1'!$A$109</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cat>
            <c:numRef>
              <c:f>'Sheet 1'!$B$1:$M$1</c:f>
              <c:numCache>
                <c:formatCode>General</c:formatCode>
                <c:ptCount val="12"/>
                <c:pt idx="0">
                  <c:v>2017</c:v>
                </c:pt>
                <c:pt idx="1">
                  <c:v>2018</c:v>
                </c:pt>
                <c:pt idx="2">
                  <c:v>2019</c:v>
                </c:pt>
                <c:pt idx="3">
                  <c:v>2020</c:v>
                </c:pt>
                <c:pt idx="4">
                  <c:v>2021</c:v>
                </c:pt>
                <c:pt idx="5">
                  <c:v>2022</c:v>
                </c:pt>
                <c:pt idx="6">
                  <c:v>2023</c:v>
                </c:pt>
                <c:pt idx="7">
                  <c:v>2024</c:v>
                </c:pt>
                <c:pt idx="8">
                  <c:v>2025</c:v>
                </c:pt>
                <c:pt idx="9">
                  <c:v>2026</c:v>
                </c:pt>
                <c:pt idx="10">
                  <c:v>2027</c:v>
                </c:pt>
                <c:pt idx="11">
                  <c:v>2028</c:v>
                </c:pt>
              </c:numCache>
            </c:numRef>
          </c:cat>
          <c:val>
            <c:numRef>
              <c:f>'Sheet 1'!$B$109:$M$109</c:f>
              <c:numCache>
                <c:formatCode>#,###,,;\(#,###,,\);\ \-\ \-</c:formatCode>
                <c:ptCount val="12"/>
                <c:pt idx="0">
                  <c:v>151021000</c:v>
                </c:pt>
                <c:pt idx="1">
                  <c:v>504933000</c:v>
                </c:pt>
                <c:pt idx="2">
                  <c:v>97275000</c:v>
                </c:pt>
                <c:pt idx="3">
                  <c:v>-667103000</c:v>
                </c:pt>
                <c:pt idx="4">
                  <c:v>2164372000</c:v>
                </c:pt>
                <c:pt idx="5">
                  <c:v>3405000000</c:v>
                </c:pt>
                <c:pt idx="6">
                  <c:v>3659000000</c:v>
                </c:pt>
                <c:pt idx="7">
                  <c:v>4015000000</c:v>
                </c:pt>
                <c:pt idx="8">
                  <c:v>4740000000</c:v>
                </c:pt>
                <c:pt idx="9">
                  <c:v>5501000000</c:v>
                </c:pt>
                <c:pt idx="10">
                  <c:v>6418000000</c:v>
                </c:pt>
                <c:pt idx="11">
                  <c:v>7528000000</c:v>
                </c:pt>
              </c:numCache>
            </c:numRef>
          </c:val>
          <c:extLst>
            <c:ext xmlns:c16="http://schemas.microsoft.com/office/drawing/2014/chart" uri="{C3380CC4-5D6E-409C-BE32-E72D297353CC}">
              <c16:uniqueId val="{00000002-4FF7-F84B-97F3-A2630AED0A87}"/>
            </c:ext>
          </c:extLst>
        </c:ser>
        <c:dLbls>
          <c:showLegendKey val="0"/>
          <c:showVal val="0"/>
          <c:showCatName val="0"/>
          <c:showSerName val="0"/>
          <c:showPercent val="0"/>
          <c:showBubbleSize val="0"/>
        </c:dLbls>
        <c:gapWidth val="150"/>
        <c:overlap val="100"/>
        <c:axId val="1541661920"/>
        <c:axId val="1541667824"/>
      </c:barChart>
      <c:catAx>
        <c:axId val="1541661920"/>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541667824"/>
        <c:crosses val="autoZero"/>
        <c:auto val="1"/>
        <c:lblAlgn val="ctr"/>
        <c:lblOffset val="100"/>
        <c:noMultiLvlLbl val="0"/>
      </c:catAx>
      <c:valAx>
        <c:axId val="1541667824"/>
        <c:scaling>
          <c:orientation val="minMax"/>
          <c:min val="-500000000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541661920"/>
        <c:crosses val="autoZero"/>
        <c:crossBetween val="between"/>
      </c:valAx>
      <c:spPr>
        <a:noFill/>
        <a:ln>
          <a:noFill/>
        </a:ln>
        <a:effectLst/>
      </c:spPr>
    </c:plotArea>
    <c:legend>
      <c:legendPos val="b"/>
      <c:layout>
        <c:manualLayout>
          <c:xMode val="edge"/>
          <c:yMode val="edge"/>
          <c:x val="0.34676751612944939"/>
          <c:y val="0.87939388110837302"/>
          <c:w val="0.31171937990509807"/>
          <c:h val="6.259085171605458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02">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10</xdr:col>
      <xdr:colOff>15874</xdr:colOff>
      <xdr:row>111</xdr:row>
      <xdr:rowOff>31750</xdr:rowOff>
    </xdr:from>
    <xdr:to>
      <xdr:col>16</xdr:col>
      <xdr:colOff>15874</xdr:colOff>
      <xdr:row>128</xdr:row>
      <xdr:rowOff>190500</xdr:rowOff>
    </xdr:to>
    <xdr:graphicFrame macro="">
      <xdr:nvGraphicFramePr>
        <xdr:cNvPr id="3" name="Chart 2">
          <a:extLst>
            <a:ext uri="{FF2B5EF4-FFF2-40B4-BE49-F238E27FC236}">
              <a16:creationId xmlns:a16="http://schemas.microsoft.com/office/drawing/2014/main" id="{F54300EE-8DD0-087D-4EFD-BE612E12CFC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Growth"/>
      <sheetName val="Full Portfolio (Concentrated)"/>
      <sheetName val="Value"/>
      <sheetName val="Concentrated"/>
      <sheetName val="Watchlist"/>
      <sheetName val="Wide Moats"/>
      <sheetName val="Sheet2"/>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4.845E-2</v>
          </cell>
        </row>
      </sheetData>
      <sheetData sheetId="8"/>
      <sheetData sheetId="9"/>
      <sheetData sheetId="10"/>
      <sheetData sheetId="11"/>
      <sheetData sheetId="12"/>
      <sheetData sheetId="13"/>
      <sheetData sheetId="14"/>
      <sheetData sheetId="15"/>
      <sheetData sheetId="16"/>
      <sheetData sheetId="17"/>
      <sheetData sheetId="18"/>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https://www.bing.com/financeapi/forcetrigger?t=bwvem7&amp;q=XNAS%3aABNB&amp;form=skydnc</v>
    <v>Learn more on Bing</v>
  </rv>
  <rv s="1">
    <v>0</v>
    <v>AIRBNB, INC. (XNAS:ABNB)</v>
    <v>2</v>
    <v>3</v>
    <v>Finance</v>
    <v>4</v>
    <v>en-US</v>
    <v>bwvem7</v>
    <v>268435456</v>
    <v>1</v>
    <v>Powered by Refinitiv</v>
    <v>154.94999999999999</v>
    <v>81.91</v>
    <v>1.641</v>
    <v>-1.38</v>
    <v>-1.1951E-2</v>
    <v>0.06</v>
    <v>5.2589999999999994E-4</v>
    <v>USD</v>
    <v>Airbnb, Inc. primarily operates a global platform for stays and experiences. The Company’s marketplace model connects hosts and guests online or through mobile devices to book spaces and experiences around the world. It partners with hosts throughout the process of setting up their listing and provide them with a range of tools to manage their listings, including scheduling, merchandising, integrated payments, community support, host protections, pricing guidance, and feedback from reviews. Its Website and mobile applications provide its guests a way to explore a variety of homes and experiences and an easy way to book them. Its hosts generally fall into two categories: individual and professional. Individual hosts list their spaces, including private rooms, primary homes, or vacation homes, on Airbnb. Professional hosts are often those who run property management or hospitality businesses and generally use application programming interfaces to list their properties on its platform.</v>
    <v>6811</v>
    <v>Nasdaq Stock Market</v>
    <v>XNAS</v>
    <v>XNAS</v>
    <v>888 Brannan St., SAN FRANCISCO, CA, 94103 US</v>
    <v>116.745</v>
    <v>Software &amp; IT Services</v>
    <v>Stock</v>
    <v>45226.999468529684</v>
    <v>0</v>
    <v>113.235</v>
    <v>73848590000</v>
    <v>AIRBNB, INC.</v>
    <v>AIRBNB, INC.</v>
    <v>116.21</v>
    <v>33.3508</v>
    <v>115.47</v>
    <v>114.09</v>
    <v>114.15</v>
    <v>647283600</v>
    <v>ABNB</v>
    <v>AIRBNB, INC. (XNAS:ABNB)</v>
    <v>5201552</v>
    <v>4742991</v>
    <v>2008</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sec.gov/Archives/edgar/data/1559720/000155972021000010/0001559720-21-000010-index.htm" TargetMode="External"/><Relationship Id="rId13" Type="http://schemas.openxmlformats.org/officeDocument/2006/relationships/hyperlink" Target="https://www.sec.gov/Archives/edgar/data/1559720/000155972023000003/0001559720-23-000003-index.htm" TargetMode="External"/><Relationship Id="rId18" Type="http://schemas.openxmlformats.org/officeDocument/2006/relationships/drawing" Target="../drawings/drawing1.xml"/><Relationship Id="rId3" Type="http://schemas.openxmlformats.org/officeDocument/2006/relationships/hyperlink" Target="https://sec.gov/" TargetMode="External"/><Relationship Id="rId7" Type="http://schemas.openxmlformats.org/officeDocument/2006/relationships/hyperlink" Target="https://sec.gov/" TargetMode="External"/><Relationship Id="rId12" Type="http://schemas.openxmlformats.org/officeDocument/2006/relationships/hyperlink" Target="https://www.sec.gov/Archives/edgar/data/1559720/000155972023000003/0001559720-23-000003-index.htm" TargetMode="External"/><Relationship Id="rId17" Type="http://schemas.openxmlformats.org/officeDocument/2006/relationships/hyperlink" Target="https://finbox.com/NASDAQGS:ABNB/explorer/fcf_unlev_proj" TargetMode="External"/><Relationship Id="rId2" Type="http://schemas.openxmlformats.org/officeDocument/2006/relationships/hyperlink" Target="https://sec.gov/" TargetMode="External"/><Relationship Id="rId16" Type="http://schemas.openxmlformats.org/officeDocument/2006/relationships/hyperlink" Target="https://finbox.com/NASDAQGS:ABNB/models/dcf-ebitda-exit-5yr/" TargetMode="External"/><Relationship Id="rId1" Type="http://schemas.openxmlformats.org/officeDocument/2006/relationships/hyperlink" Target="https://roic.ai/company/ABNB" TargetMode="External"/><Relationship Id="rId6" Type="http://schemas.openxmlformats.org/officeDocument/2006/relationships/hyperlink" Target="https://sec.gov/" TargetMode="External"/><Relationship Id="rId11" Type="http://schemas.openxmlformats.org/officeDocument/2006/relationships/hyperlink" Target="https://www.sec.gov/Archives/edgar/data/1559720/000155972022000006/0001559720-22-000006-index.htm" TargetMode="External"/><Relationship Id="rId5" Type="http://schemas.openxmlformats.org/officeDocument/2006/relationships/hyperlink" Target="https://sec.gov/" TargetMode="External"/><Relationship Id="rId15" Type="http://schemas.openxmlformats.org/officeDocument/2006/relationships/hyperlink" Target="https://fourweekmba.com/airbnb-gross-booking-value/" TargetMode="External"/><Relationship Id="rId10" Type="http://schemas.openxmlformats.org/officeDocument/2006/relationships/hyperlink" Target="https://www.sec.gov/Archives/edgar/data/1559720/000155972022000006/0001559720-22-000006-index.htm" TargetMode="External"/><Relationship Id="rId4" Type="http://schemas.openxmlformats.org/officeDocument/2006/relationships/hyperlink" Target="https://sec.gov/" TargetMode="External"/><Relationship Id="rId9" Type="http://schemas.openxmlformats.org/officeDocument/2006/relationships/hyperlink" Target="https://www.sec.gov/Archives/edgar/data/1559720/000155972021000010/0001559720-21-000010-index.htm" TargetMode="External"/><Relationship Id="rId14" Type="http://schemas.openxmlformats.org/officeDocument/2006/relationships/hyperlink" Target="https://finbox.com/NASDAQGS:ABNB/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121"/>
  <sheetViews>
    <sheetView tabSelected="1" zoomScale="80" zoomScaleNormal="80" workbookViewId="0">
      <pane xSplit="1" ySplit="1" topLeftCell="E100" activePane="bottomRight" state="frozen"/>
      <selection pane="topRight"/>
      <selection pane="bottomLeft"/>
      <selection pane="bottomRight" activeCell="I128" sqref="I128"/>
    </sheetView>
  </sheetViews>
  <sheetFormatPr baseColWidth="10" defaultRowHeight="16" x14ac:dyDescent="0.2"/>
  <cols>
    <col min="1" max="1" width="50" customWidth="1"/>
    <col min="2" max="8" width="15" customWidth="1"/>
    <col min="9" max="13" width="21.1640625" customWidth="1"/>
    <col min="14" max="17" width="21" customWidth="1"/>
  </cols>
  <sheetData>
    <row r="1" spans="1:39" ht="22" thickBot="1" x14ac:dyDescent="0.3">
      <c r="A1" s="3" t="e" vm="1">
        <v>#VALUE!</v>
      </c>
      <c r="B1" s="8">
        <v>2017</v>
      </c>
      <c r="C1" s="8">
        <v>2018</v>
      </c>
      <c r="D1" s="8">
        <v>2019</v>
      </c>
      <c r="E1" s="8">
        <v>2020</v>
      </c>
      <c r="F1" s="8">
        <v>2021</v>
      </c>
      <c r="G1" s="8">
        <v>2022</v>
      </c>
      <c r="H1" s="14">
        <v>2023</v>
      </c>
      <c r="I1" s="14">
        <v>2024</v>
      </c>
      <c r="J1" s="14">
        <v>2025</v>
      </c>
      <c r="K1" s="14">
        <v>2026</v>
      </c>
      <c r="L1" s="14">
        <v>2027</v>
      </c>
      <c r="M1" s="14">
        <v>2028</v>
      </c>
    </row>
    <row r="2" spans="1:39" ht="21" x14ac:dyDescent="0.25">
      <c r="A2" s="4" t="s">
        <v>0</v>
      </c>
      <c r="B2" s="9" t="s">
        <v>90</v>
      </c>
      <c r="C2" s="9" t="s">
        <v>90</v>
      </c>
      <c r="D2" s="9" t="s">
        <v>90</v>
      </c>
      <c r="E2" s="9" t="s">
        <v>90</v>
      </c>
      <c r="F2" s="9" t="s">
        <v>90</v>
      </c>
      <c r="G2" s="9" t="s">
        <v>90</v>
      </c>
      <c r="H2" s="9" t="s">
        <v>90</v>
      </c>
      <c r="I2" s="9" t="s">
        <v>90</v>
      </c>
      <c r="J2" s="9" t="s">
        <v>90</v>
      </c>
      <c r="K2" s="9" t="s">
        <v>90</v>
      </c>
      <c r="L2" s="9"/>
      <c r="M2" s="9"/>
      <c r="N2" s="9"/>
      <c r="O2" s="9"/>
      <c r="P2" s="9"/>
      <c r="Q2" s="9"/>
    </row>
    <row r="3" spans="1:39" ht="19" x14ac:dyDescent="0.25">
      <c r="A3" s="5" t="s">
        <v>153</v>
      </c>
      <c r="B3" s="24">
        <v>13900</v>
      </c>
      <c r="C3" s="24">
        <v>20970</v>
      </c>
      <c r="D3" s="24">
        <v>29400</v>
      </c>
      <c r="E3" s="24">
        <v>23890</v>
      </c>
      <c r="F3" s="24">
        <v>46880</v>
      </c>
      <c r="G3" s="24">
        <v>63200</v>
      </c>
      <c r="H3" s="44">
        <v>64912</v>
      </c>
      <c r="I3" s="1"/>
      <c r="J3" s="1"/>
      <c r="K3" s="1"/>
      <c r="L3" s="1"/>
      <c r="M3" s="1"/>
      <c r="N3" s="1"/>
      <c r="O3" s="1"/>
      <c r="P3" s="1"/>
      <c r="Q3" s="1"/>
      <c r="R3" s="24"/>
      <c r="S3" s="24"/>
      <c r="T3" s="24"/>
      <c r="U3" s="24"/>
      <c r="V3" s="24"/>
      <c r="W3" s="24"/>
      <c r="X3" s="24"/>
      <c r="Y3" s="24"/>
      <c r="Z3" s="24"/>
      <c r="AA3" s="24"/>
      <c r="AB3" s="24"/>
      <c r="AC3" s="24"/>
      <c r="AD3" s="24"/>
      <c r="AE3" s="1"/>
      <c r="AF3" s="1"/>
      <c r="AG3" s="1"/>
      <c r="AH3" s="1"/>
      <c r="AI3" s="1"/>
    </row>
    <row r="4" spans="1:39" ht="19" x14ac:dyDescent="0.25">
      <c r="A4" s="17" t="s">
        <v>167</v>
      </c>
      <c r="B4" s="1"/>
      <c r="C4" s="18">
        <f>(C3/B3)-1</f>
        <v>0.50863309352517994</v>
      </c>
      <c r="D4" s="18">
        <f>(D3/C3)-1</f>
        <v>0.40200286123032902</v>
      </c>
      <c r="E4" s="18">
        <f>(E3/D3)-1</f>
        <v>-0.18741496598639451</v>
      </c>
      <c r="F4" s="18">
        <f t="shared" ref="F4" si="0">(F3/E3)-1</f>
        <v>0.96232733361239009</v>
      </c>
      <c r="G4" s="18">
        <f t="shared" ref="G4" si="1">(G3/F3)-1</f>
        <v>0.34812286689419802</v>
      </c>
      <c r="H4" s="16">
        <f t="shared" ref="H4" si="2">(H3/G3)-1</f>
        <v>2.7088607594936809E-2</v>
      </c>
      <c r="I4" s="1"/>
      <c r="J4" s="1"/>
      <c r="K4" s="1"/>
      <c r="L4" s="1"/>
      <c r="M4" s="1"/>
      <c r="N4" s="1"/>
      <c r="O4" s="1"/>
      <c r="P4" s="1"/>
      <c r="Q4" s="1"/>
      <c r="R4" s="24"/>
      <c r="S4" s="24"/>
      <c r="T4" s="24"/>
      <c r="U4" s="24"/>
      <c r="V4" s="24"/>
      <c r="W4" s="24"/>
      <c r="X4" s="24"/>
      <c r="Y4" s="24"/>
      <c r="Z4" s="24"/>
      <c r="AA4" s="24"/>
      <c r="AB4" s="24"/>
      <c r="AC4" s="24"/>
      <c r="AD4" s="24"/>
      <c r="AE4" s="1"/>
      <c r="AF4" s="1"/>
      <c r="AG4" s="1"/>
      <c r="AH4" s="1"/>
      <c r="AI4" s="1"/>
    </row>
    <row r="5" spans="1:39" ht="36" customHeight="1" x14ac:dyDescent="0.25">
      <c r="A5" s="5" t="s">
        <v>1</v>
      </c>
      <c r="B5" s="1">
        <v>2561721000</v>
      </c>
      <c r="C5" s="1">
        <v>3651985000</v>
      </c>
      <c r="D5" s="1">
        <v>4805239000</v>
      </c>
      <c r="E5" s="1">
        <v>3378199000</v>
      </c>
      <c r="F5" s="1">
        <v>5991760000</v>
      </c>
      <c r="G5" s="1">
        <v>8399000000</v>
      </c>
      <c r="H5" s="15">
        <v>9845000000</v>
      </c>
      <c r="I5" s="15">
        <v>11131000000</v>
      </c>
      <c r="J5" s="15">
        <v>12652000000</v>
      </c>
      <c r="K5" s="15">
        <v>14335000000</v>
      </c>
      <c r="L5" s="15">
        <v>16204000000</v>
      </c>
      <c r="M5" s="15">
        <v>18663000000</v>
      </c>
      <c r="N5" s="28" t="s">
        <v>106</v>
      </c>
      <c r="O5" s="28" t="s">
        <v>107</v>
      </c>
      <c r="P5" s="31" t="s">
        <v>108</v>
      </c>
      <c r="Q5" s="21" t="s">
        <v>109</v>
      </c>
    </row>
    <row r="6" spans="1:39" ht="19" x14ac:dyDescent="0.25">
      <c r="A6" s="17" t="s">
        <v>93</v>
      </c>
      <c r="B6" s="1"/>
      <c r="C6" s="18">
        <f>(C5/B5)-1</f>
        <v>0.42559825991979605</v>
      </c>
      <c r="D6" s="18">
        <f>(D5/C5)-1</f>
        <v>0.31578826309527552</v>
      </c>
      <c r="E6" s="18">
        <f>(E5/D5)-1</f>
        <v>-0.29697586321929048</v>
      </c>
      <c r="F6" s="18">
        <f t="shared" ref="F6:K6" si="3">(F5/E5)-1</f>
        <v>0.77365513399299446</v>
      </c>
      <c r="G6" s="18">
        <f t="shared" si="3"/>
        <v>0.40175841488978192</v>
      </c>
      <c r="H6" s="16">
        <f t="shared" si="3"/>
        <v>0.17216335278009276</v>
      </c>
      <c r="I6" s="16">
        <f>(I5/H5)-1</f>
        <v>0.13062468257998994</v>
      </c>
      <c r="J6" s="16">
        <f t="shared" si="3"/>
        <v>0.13664540472554121</v>
      </c>
      <c r="K6" s="16">
        <f t="shared" si="3"/>
        <v>0.13302244704394561</v>
      </c>
      <c r="L6" s="16">
        <f t="shared" ref="L6" si="4">(L5/K5)-1</f>
        <v>0.13038018835019183</v>
      </c>
      <c r="M6" s="16">
        <f t="shared" ref="M6" si="5">(M5/L5)-1</f>
        <v>0.15175265366576163</v>
      </c>
      <c r="N6" s="27">
        <f>(G6+F6+H6)/3</f>
        <v>0.44919230055428971</v>
      </c>
      <c r="O6" s="27">
        <f>(G22+F22+H22)/3</f>
        <v>2.0620914942622637</v>
      </c>
      <c r="P6" s="27">
        <f>(G31+F31+E31)/3</f>
        <v>-0.50056919516481246</v>
      </c>
      <c r="Q6" s="19">
        <f>(G108+F108+H108)/3</f>
        <v>-1.1988779097636184</v>
      </c>
      <c r="R6" s="18"/>
      <c r="S6" s="16"/>
      <c r="T6" s="16"/>
      <c r="U6" s="16"/>
      <c r="V6" s="16"/>
      <c r="W6" s="16"/>
      <c r="X6" s="16"/>
      <c r="Y6" s="16"/>
      <c r="Z6" s="16"/>
      <c r="AA6" s="16"/>
      <c r="AB6" s="16"/>
      <c r="AC6" s="16"/>
      <c r="AD6" s="16"/>
      <c r="AE6" s="16"/>
      <c r="AF6" s="16"/>
      <c r="AG6" s="16"/>
      <c r="AJ6" s="20"/>
      <c r="AK6" s="20"/>
      <c r="AL6" s="20"/>
      <c r="AM6" s="20"/>
    </row>
    <row r="7" spans="1:39" ht="19" x14ac:dyDescent="0.25">
      <c r="A7" s="5" t="s">
        <v>2</v>
      </c>
      <c r="B7" s="1">
        <v>647690000</v>
      </c>
      <c r="C7" s="1">
        <v>864032000</v>
      </c>
      <c r="D7" s="1">
        <v>1196313000</v>
      </c>
      <c r="E7" s="1">
        <v>876042000</v>
      </c>
      <c r="F7" s="1">
        <v>1155833000</v>
      </c>
      <c r="G7" s="1">
        <v>1499000000</v>
      </c>
      <c r="H7" s="1"/>
    </row>
    <row r="8" spans="1:39" ht="21" customHeight="1" x14ac:dyDescent="0.25">
      <c r="A8" s="6" t="s">
        <v>3</v>
      </c>
      <c r="B8" s="10">
        <v>1914031000</v>
      </c>
      <c r="C8" s="10">
        <v>2787953000</v>
      </c>
      <c r="D8" s="10">
        <v>3608926000</v>
      </c>
      <c r="E8" s="10">
        <v>2502157000</v>
      </c>
      <c r="F8" s="10">
        <v>4835927000</v>
      </c>
      <c r="G8" s="10">
        <v>6900000000</v>
      </c>
      <c r="H8" s="34"/>
      <c r="N8" s="31" t="s">
        <v>110</v>
      </c>
      <c r="O8" s="28" t="s">
        <v>111</v>
      </c>
      <c r="P8" s="31" t="s">
        <v>112</v>
      </c>
      <c r="Q8" s="21" t="s">
        <v>113</v>
      </c>
    </row>
    <row r="9" spans="1:39" ht="19" x14ac:dyDescent="0.25">
      <c r="A9" s="5" t="s">
        <v>4</v>
      </c>
      <c r="B9" s="2">
        <v>0.74719999999999998</v>
      </c>
      <c r="C9" s="2">
        <v>0.76339999999999997</v>
      </c>
      <c r="D9" s="2">
        <v>0.751</v>
      </c>
      <c r="E9" s="2">
        <v>0.74070000000000003</v>
      </c>
      <c r="F9" s="2">
        <v>0.80710000000000004</v>
      </c>
      <c r="G9" s="2">
        <v>0.82150000000000001</v>
      </c>
      <c r="H9" s="2"/>
      <c r="N9" s="27">
        <f>G9</f>
        <v>0.82150000000000001</v>
      </c>
      <c r="O9" s="27">
        <f>H23</f>
        <v>0.35185373285931948</v>
      </c>
      <c r="P9" s="27">
        <f>H32</f>
        <v>0.27150837988826815</v>
      </c>
      <c r="Q9" s="19">
        <f>H107/H5</f>
        <v>0.37166074149314371</v>
      </c>
    </row>
    <row r="10" spans="1:39" ht="19" x14ac:dyDescent="0.25">
      <c r="A10" s="5" t="s">
        <v>5</v>
      </c>
      <c r="B10" s="1">
        <v>400749000</v>
      </c>
      <c r="C10" s="1">
        <v>579193000</v>
      </c>
      <c r="D10" s="1">
        <v>976695000</v>
      </c>
      <c r="E10" s="1">
        <v>2752872000</v>
      </c>
      <c r="F10" s="1">
        <v>1425048000</v>
      </c>
      <c r="G10" s="1">
        <v>1502000000</v>
      </c>
      <c r="H10" s="1"/>
    </row>
    <row r="11" spans="1:39" ht="19" customHeight="1" x14ac:dyDescent="0.25">
      <c r="A11" s="17" t="s">
        <v>94</v>
      </c>
      <c r="B11" s="18">
        <f>B10/B5</f>
        <v>0.15643741063136851</v>
      </c>
      <c r="C11" s="18">
        <f t="shared" ref="C11:G11" si="6">C10/C5</f>
        <v>0.15859676313018811</v>
      </c>
      <c r="D11" s="18">
        <f t="shared" si="6"/>
        <v>0.20325627924022094</v>
      </c>
      <c r="E11" s="18">
        <f t="shared" si="6"/>
        <v>0.81489337957888208</v>
      </c>
      <c r="F11" s="18">
        <f t="shared" si="6"/>
        <v>0.23783462622000881</v>
      </c>
      <c r="G11" s="18">
        <f t="shared" si="6"/>
        <v>0.17883081319204666</v>
      </c>
      <c r="H11" s="18"/>
      <c r="I11" s="18"/>
      <c r="J11" s="18"/>
      <c r="K11" s="18"/>
      <c r="L11" s="18"/>
      <c r="M11" s="18"/>
      <c r="N11" s="31" t="s">
        <v>95</v>
      </c>
      <c r="O11" s="32" t="s">
        <v>96</v>
      </c>
      <c r="P11" s="32" t="s">
        <v>97</v>
      </c>
      <c r="Q11" s="32" t="s">
        <v>98</v>
      </c>
      <c r="R11" s="18"/>
    </row>
    <row r="12" spans="1:39" ht="19" x14ac:dyDescent="0.25">
      <c r="A12" s="5" t="s">
        <v>6</v>
      </c>
      <c r="B12" s="1">
        <v>327156000</v>
      </c>
      <c r="C12" s="1">
        <v>479487000</v>
      </c>
      <c r="D12" s="1">
        <v>697181000</v>
      </c>
      <c r="E12" s="1">
        <v>1134851000</v>
      </c>
      <c r="F12" s="1">
        <v>835324000</v>
      </c>
      <c r="G12" s="1">
        <v>950000000</v>
      </c>
      <c r="H12" s="1"/>
      <c r="N12" s="27">
        <f>(G11+F11+E11)/3</f>
        <v>0.41051960633031248</v>
      </c>
      <c r="O12" s="27">
        <f>(G15+F15+E15)/3</f>
        <v>0.43828694165068605</v>
      </c>
      <c r="P12" s="27">
        <f>(G82+F82+E82)/3</f>
        <v>0.38312075768395881</v>
      </c>
      <c r="Q12" s="19">
        <f>(G91+F91+E91)/3</f>
        <v>6.0883618081982701E-3</v>
      </c>
    </row>
    <row r="13" spans="1:39" ht="19" x14ac:dyDescent="0.25">
      <c r="A13" s="5" t="s">
        <v>7</v>
      </c>
      <c r="B13" s="1">
        <v>871749000</v>
      </c>
      <c r="C13" s="1">
        <v>1101327000</v>
      </c>
      <c r="D13" s="1">
        <v>1621519000</v>
      </c>
      <c r="E13" s="1">
        <v>1175325000</v>
      </c>
      <c r="F13" s="1">
        <v>1186332000</v>
      </c>
      <c r="G13" s="1">
        <v>1516000000</v>
      </c>
      <c r="H13" s="1"/>
    </row>
    <row r="14" spans="1:39" ht="23" customHeight="1" x14ac:dyDescent="0.25">
      <c r="A14" s="5" t="s">
        <v>8</v>
      </c>
      <c r="B14" s="1">
        <v>1198905000</v>
      </c>
      <c r="C14" s="1">
        <v>1580814000</v>
      </c>
      <c r="D14" s="1">
        <v>2318700000</v>
      </c>
      <c r="E14" s="1">
        <v>2310176000</v>
      </c>
      <c r="F14" s="1">
        <v>2021656000</v>
      </c>
      <c r="G14" s="1">
        <v>2466000000</v>
      </c>
      <c r="H14" s="1"/>
      <c r="N14" s="31" t="s">
        <v>114</v>
      </c>
      <c r="O14" s="31" t="s">
        <v>115</v>
      </c>
      <c r="P14" s="31" t="s">
        <v>116</v>
      </c>
      <c r="Q14" s="32" t="s">
        <v>117</v>
      </c>
    </row>
    <row r="15" spans="1:39" ht="19" x14ac:dyDescent="0.25">
      <c r="A15" s="17" t="s">
        <v>99</v>
      </c>
      <c r="B15" s="18">
        <f>B14/B5</f>
        <v>0.46800764017627211</v>
      </c>
      <c r="C15" s="18">
        <f t="shared" ref="C15:G15" si="7">C14/C5</f>
        <v>0.43286431899364319</v>
      </c>
      <c r="D15" s="18">
        <f t="shared" si="7"/>
        <v>0.48253583224476454</v>
      </c>
      <c r="E15" s="18">
        <f t="shared" si="7"/>
        <v>0.68384840561494453</v>
      </c>
      <c r="F15" s="18">
        <f t="shared" si="7"/>
        <v>0.33740603762500498</v>
      </c>
      <c r="G15" s="18">
        <f t="shared" si="7"/>
        <v>0.29360638171210857</v>
      </c>
      <c r="H15" s="18"/>
      <c r="I15" s="18"/>
      <c r="J15" s="18"/>
      <c r="K15" s="18"/>
      <c r="L15" s="18"/>
      <c r="M15" s="18"/>
      <c r="N15" s="27">
        <f>G30/G74</f>
        <v>0.34046762589928059</v>
      </c>
      <c r="O15" s="19">
        <f>G30/G56</f>
        <v>0.11803217358772915</v>
      </c>
      <c r="P15" s="27">
        <f>(G30-G100)/G75</f>
        <v>0.11803217358772915</v>
      </c>
      <c r="Q15" s="23">
        <f>(G63+G58)/G74</f>
        <v>0.42104316546762588</v>
      </c>
      <c r="R15" s="18"/>
    </row>
    <row r="16" spans="1:39" ht="19" x14ac:dyDescent="0.25">
      <c r="A16" s="5" t="s">
        <v>9</v>
      </c>
      <c r="B16" s="1">
        <v>395739000</v>
      </c>
      <c r="C16" s="1">
        <v>609202000</v>
      </c>
      <c r="D16" s="1">
        <v>815074000</v>
      </c>
      <c r="E16" s="1">
        <v>877901000</v>
      </c>
      <c r="F16" s="1">
        <v>847057000</v>
      </c>
      <c r="G16" s="1">
        <v>1041000000</v>
      </c>
      <c r="H16" s="1"/>
    </row>
    <row r="17" spans="1:18" ht="20" customHeight="1" x14ac:dyDescent="0.25">
      <c r="A17" s="5" t="s">
        <v>10</v>
      </c>
      <c r="B17" s="1">
        <v>1995393000</v>
      </c>
      <c r="C17" s="1">
        <v>2769209000</v>
      </c>
      <c r="D17" s="1">
        <v>4110469000</v>
      </c>
      <c r="E17" s="1">
        <v>5940949000</v>
      </c>
      <c r="F17" s="1">
        <v>4293761000</v>
      </c>
      <c r="G17" s="1">
        <v>5009000000</v>
      </c>
      <c r="H17" s="1"/>
      <c r="N17" s="31" t="s">
        <v>119</v>
      </c>
      <c r="O17" s="21" t="s">
        <v>154</v>
      </c>
      <c r="P17" s="21" t="s">
        <v>155</v>
      </c>
      <c r="Q17" s="29" t="s">
        <v>156</v>
      </c>
    </row>
    <row r="18" spans="1:18" ht="19" x14ac:dyDescent="0.25">
      <c r="A18" s="5" t="s">
        <v>11</v>
      </c>
      <c r="B18" s="1">
        <v>2643083000</v>
      </c>
      <c r="C18" s="1">
        <v>3633241000</v>
      </c>
      <c r="D18" s="1">
        <v>5306782000</v>
      </c>
      <c r="E18" s="1">
        <v>6816991000</v>
      </c>
      <c r="F18" s="1">
        <v>5449594000</v>
      </c>
      <c r="G18" s="1">
        <v>6508000000</v>
      </c>
      <c r="H18" s="1"/>
      <c r="N18" s="22">
        <f>AVERAGE(D37:H37)</f>
        <v>0.14889962761738218</v>
      </c>
      <c r="O18" s="35">
        <f>P103/H5</f>
        <v>7.5011264601320464</v>
      </c>
      <c r="P18" s="35">
        <f>P103/H30</f>
        <v>27.627605686494576</v>
      </c>
      <c r="Q18" s="36">
        <f>P103/H109</f>
        <v>20.182724788193497</v>
      </c>
    </row>
    <row r="19" spans="1:18" ht="19" x14ac:dyDescent="0.25">
      <c r="A19" s="5" t="s">
        <v>12</v>
      </c>
      <c r="B19" s="1">
        <v>16403000</v>
      </c>
      <c r="C19" s="1">
        <v>26143000</v>
      </c>
      <c r="D19" s="1">
        <v>9968000</v>
      </c>
      <c r="E19" s="1">
        <v>171688000</v>
      </c>
      <c r="F19" s="1">
        <v>437599000</v>
      </c>
      <c r="G19" s="1">
        <v>24000000</v>
      </c>
      <c r="H19" s="1"/>
    </row>
    <row r="20" spans="1:18" ht="20" x14ac:dyDescent="0.25">
      <c r="A20" s="5" t="s">
        <v>13</v>
      </c>
      <c r="B20" s="1">
        <v>79342000</v>
      </c>
      <c r="C20" s="1">
        <v>82401000</v>
      </c>
      <c r="D20" s="1">
        <v>114162000</v>
      </c>
      <c r="E20" s="1">
        <v>125876000</v>
      </c>
      <c r="F20" s="1">
        <v>138319000</v>
      </c>
      <c r="G20" s="1">
        <v>81000000</v>
      </c>
      <c r="H20" s="1"/>
      <c r="N20" s="33" t="s">
        <v>157</v>
      </c>
      <c r="O20" s="21" t="s">
        <v>158</v>
      </c>
      <c r="P20" s="21" t="s">
        <v>159</v>
      </c>
      <c r="Q20" s="29" t="s">
        <v>160</v>
      </c>
    </row>
    <row r="21" spans="1:18" ht="19" x14ac:dyDescent="0.25">
      <c r="A21" s="6" t="s">
        <v>14</v>
      </c>
      <c r="B21" s="10">
        <v>36646000</v>
      </c>
      <c r="C21" s="10">
        <v>155577000</v>
      </c>
      <c r="D21" s="10">
        <v>-287573000</v>
      </c>
      <c r="E21" s="10">
        <v>-4384374000</v>
      </c>
      <c r="F21" s="10">
        <v>275711000</v>
      </c>
      <c r="G21" s="10">
        <v>2094000000</v>
      </c>
      <c r="H21" s="41">
        <v>3464000000</v>
      </c>
      <c r="I21" s="41">
        <v>3947000000</v>
      </c>
      <c r="J21" s="41">
        <v>4669000000</v>
      </c>
      <c r="K21" s="41">
        <v>5522000003</v>
      </c>
      <c r="L21" s="41">
        <v>6455000000</v>
      </c>
      <c r="M21" s="41">
        <v>7310000000</v>
      </c>
      <c r="N21" s="30">
        <f>G42-G58-G63</f>
        <v>7281000000</v>
      </c>
      <c r="O21" s="35">
        <f>P103/I5</f>
        <v>6.6344973497439579</v>
      </c>
      <c r="P21" s="37">
        <f>P103/I30</f>
        <v>25.456253016201309</v>
      </c>
      <c r="Q21" s="36">
        <f>P103/I109</f>
        <v>18.393173100871731</v>
      </c>
    </row>
    <row r="22" spans="1:18" ht="19" customHeight="1" x14ac:dyDescent="0.25">
      <c r="A22" s="17" t="s">
        <v>100</v>
      </c>
      <c r="B22" s="1"/>
      <c r="C22" s="18">
        <f>(C21/B21)-1</f>
        <v>3.2454019538285213</v>
      </c>
      <c r="D22" s="18">
        <f>(D21/C21)-1</f>
        <v>-2.8484287523220013</v>
      </c>
      <c r="E22" s="18">
        <f>(E21/D21)-1</f>
        <v>14.24612533165492</v>
      </c>
      <c r="F22" s="18">
        <f t="shared" ref="F22:H22" si="8">(F21/E21)-1</f>
        <v>-1.0628849181205799</v>
      </c>
      <c r="G22" s="18">
        <f t="shared" si="8"/>
        <v>6.5949091621299116</v>
      </c>
      <c r="H22" s="16">
        <f t="shared" si="8"/>
        <v>0.65425023877745936</v>
      </c>
      <c r="I22" s="16">
        <f t="shared" ref="I22" si="9">(I21/H21)-1</f>
        <v>0.13943418013856812</v>
      </c>
      <c r="J22" s="16">
        <f t="shared" ref="J22" si="10">(J21/I21)-1</f>
        <v>0.18292373954902463</v>
      </c>
      <c r="K22" s="16">
        <f t="shared" ref="K22" si="11">(K21/J21)-1</f>
        <v>0.18269436774469905</v>
      </c>
      <c r="L22" s="16">
        <f t="shared" ref="L22" si="12">(L21/K21)-1</f>
        <v>0.1689605209150884</v>
      </c>
      <c r="M22" s="16">
        <f t="shared" ref="M22" si="13">(M21/L21)-1</f>
        <v>0.13245546088303639</v>
      </c>
      <c r="P22" s="18"/>
      <c r="Q22" s="18"/>
      <c r="R22" s="18"/>
    </row>
    <row r="23" spans="1:18" ht="20" x14ac:dyDescent="0.25">
      <c r="A23" s="5" t="s">
        <v>15</v>
      </c>
      <c r="B23" s="2">
        <v>1.43E-2</v>
      </c>
      <c r="C23" s="2">
        <v>4.2599999999999999E-2</v>
      </c>
      <c r="D23" s="2">
        <v>-5.9799999999999999E-2</v>
      </c>
      <c r="E23" s="2">
        <v>-1.2978000000000001</v>
      </c>
      <c r="F23" s="2">
        <v>4.5999999999999999E-2</v>
      </c>
      <c r="G23" s="2">
        <v>0.24929999999999999</v>
      </c>
      <c r="H23" s="42">
        <f>H21/H5</f>
        <v>0.35185373285931948</v>
      </c>
      <c r="I23" s="42">
        <f t="shared" ref="I23:M23" si="14">I21/I5</f>
        <v>0.35459527445871891</v>
      </c>
      <c r="J23" s="42">
        <f t="shared" si="14"/>
        <v>0.36903256402149859</v>
      </c>
      <c r="K23" s="42">
        <f t="shared" si="14"/>
        <v>0.38521102218346703</v>
      </c>
      <c r="L23" s="42">
        <f t="shared" si="14"/>
        <v>0.39835843001727966</v>
      </c>
      <c r="M23" s="42">
        <f t="shared" si="14"/>
        <v>0.39168408080158601</v>
      </c>
      <c r="O23" s="53" t="s">
        <v>169</v>
      </c>
      <c r="P23" s="50" t="s">
        <v>165</v>
      </c>
      <c r="Q23" s="29" t="s">
        <v>168</v>
      </c>
    </row>
    <row r="24" spans="1:18" ht="19" x14ac:dyDescent="0.25">
      <c r="A24" s="6" t="s">
        <v>16</v>
      </c>
      <c r="B24" s="10">
        <v>-81362000</v>
      </c>
      <c r="C24" s="10">
        <v>18744000</v>
      </c>
      <c r="D24" s="10">
        <v>-501543000</v>
      </c>
      <c r="E24" s="10">
        <v>-3590147000</v>
      </c>
      <c r="F24" s="10">
        <v>429317000</v>
      </c>
      <c r="G24" s="10">
        <v>1891000000</v>
      </c>
      <c r="H24" s="34"/>
      <c r="O24" s="54">
        <f>SUM(I31:M31)/5</f>
        <v>0.1817109053910316</v>
      </c>
      <c r="P24" s="51">
        <f>G100/P103</f>
        <v>0</v>
      </c>
      <c r="Q24" s="52">
        <f>H107/P103</f>
        <v>4.9547323787766294E-2</v>
      </c>
    </row>
    <row r="25" spans="1:18" ht="19" x14ac:dyDescent="0.25">
      <c r="A25" s="5" t="s">
        <v>17</v>
      </c>
      <c r="B25" s="2">
        <v>-3.1800000000000002E-2</v>
      </c>
      <c r="C25" s="2">
        <v>5.1000000000000004E-3</v>
      </c>
      <c r="D25" s="2">
        <v>-0.10440000000000001</v>
      </c>
      <c r="E25" s="2">
        <v>-1.0627</v>
      </c>
      <c r="F25" s="2">
        <v>7.17E-2</v>
      </c>
      <c r="G25" s="2">
        <v>0.22509999999999999</v>
      </c>
      <c r="H25" s="2"/>
    </row>
    <row r="26" spans="1:18" ht="19" x14ac:dyDescent="0.25">
      <c r="A26" s="5" t="s">
        <v>18</v>
      </c>
      <c r="B26" s="1">
        <v>22263000</v>
      </c>
      <c r="C26" s="1">
        <v>28289000</v>
      </c>
      <c r="D26" s="1">
        <v>89840000</v>
      </c>
      <c r="E26" s="1">
        <v>-1091791000</v>
      </c>
      <c r="F26" s="1">
        <v>-729524000</v>
      </c>
      <c r="G26" s="1">
        <v>98000000</v>
      </c>
      <c r="H26" s="1"/>
    </row>
    <row r="27" spans="1:18" ht="19" x14ac:dyDescent="0.25">
      <c r="A27" s="6" t="s">
        <v>19</v>
      </c>
      <c r="B27" s="10">
        <v>-59099000</v>
      </c>
      <c r="C27" s="10">
        <v>47033000</v>
      </c>
      <c r="D27" s="10">
        <v>-411703000</v>
      </c>
      <c r="E27" s="10">
        <v>-4681938000</v>
      </c>
      <c r="F27" s="10">
        <v>-300207000</v>
      </c>
      <c r="G27" s="10">
        <v>1989000000</v>
      </c>
      <c r="H27" s="34"/>
    </row>
    <row r="28" spans="1:18" ht="19" x14ac:dyDescent="0.25">
      <c r="A28" s="5" t="s">
        <v>20</v>
      </c>
      <c r="B28" s="2">
        <v>-2.3099999999999999E-2</v>
      </c>
      <c r="C28" s="2">
        <v>1.29E-2</v>
      </c>
      <c r="D28" s="2">
        <v>-8.5699999999999998E-2</v>
      </c>
      <c r="E28" s="2">
        <v>-1.3858999999999999</v>
      </c>
      <c r="F28" s="2">
        <v>-5.0099999999999999E-2</v>
      </c>
      <c r="G28" s="2">
        <v>0.23680000000000001</v>
      </c>
      <c r="H28" s="2"/>
    </row>
    <row r="29" spans="1:18" ht="19" x14ac:dyDescent="0.25">
      <c r="A29" s="5" t="s">
        <v>21</v>
      </c>
      <c r="B29" s="1">
        <v>10947000</v>
      </c>
      <c r="C29" s="1">
        <v>63893000</v>
      </c>
      <c r="D29" s="1">
        <v>262636000</v>
      </c>
      <c r="E29" s="1">
        <v>-97222000</v>
      </c>
      <c r="F29" s="1">
        <v>51827000</v>
      </c>
      <c r="G29" s="1">
        <v>96000000</v>
      </c>
      <c r="H29" s="1"/>
    </row>
    <row r="30" spans="1:18" ht="20" thickBot="1" x14ac:dyDescent="0.3">
      <c r="A30" s="7" t="s">
        <v>22</v>
      </c>
      <c r="B30" s="11">
        <v>-70046000</v>
      </c>
      <c r="C30" s="11">
        <v>-16860000</v>
      </c>
      <c r="D30" s="11">
        <v>-674339000</v>
      </c>
      <c r="E30" s="11">
        <v>-4584716000</v>
      </c>
      <c r="F30" s="11">
        <v>-352034000</v>
      </c>
      <c r="G30" s="11">
        <v>1893000000</v>
      </c>
      <c r="H30" s="38">
        <v>2673000000</v>
      </c>
      <c r="I30" s="38">
        <v>2901000000</v>
      </c>
      <c r="J30" s="38">
        <v>3372000000</v>
      </c>
      <c r="K30" s="38">
        <v>4201000000</v>
      </c>
      <c r="L30" s="38">
        <v>5195000000</v>
      </c>
      <c r="M30" s="38">
        <v>6122000000</v>
      </c>
    </row>
    <row r="31" spans="1:18" ht="20" customHeight="1" thickTop="1" x14ac:dyDescent="0.25">
      <c r="A31" s="17" t="s">
        <v>102</v>
      </c>
      <c r="B31" s="1"/>
      <c r="C31" s="18">
        <f>(C30/B30)-1</f>
        <v>-0.75930103075122068</v>
      </c>
      <c r="D31" s="18">
        <f>(D30/C30)-1</f>
        <v>38.996381969157767</v>
      </c>
      <c r="E31" s="18">
        <f>(E30/D30)-1</f>
        <v>5.7988296687571088</v>
      </c>
      <c r="F31" s="18">
        <f t="shared" ref="F31:G31" si="15">(F30/E30)-1</f>
        <v>-0.92321574553363828</v>
      </c>
      <c r="G31" s="18">
        <f t="shared" si="15"/>
        <v>-6.377321508717908</v>
      </c>
      <c r="H31" s="16">
        <f t="shared" ref="H31" si="16">(H30/G30)-1</f>
        <v>0.41204437400950877</v>
      </c>
      <c r="I31" s="16">
        <f t="shared" ref="I31" si="17">(I30/H30)-1</f>
        <v>8.529741863075202E-2</v>
      </c>
      <c r="J31" s="16">
        <f t="shared" ref="J31" si="18">(J30/I30)-1</f>
        <v>0.1623578076525336</v>
      </c>
      <c r="K31" s="16">
        <f t="shared" ref="K31" si="19">(K30/J30)-1</f>
        <v>0.24584816132858833</v>
      </c>
      <c r="L31" s="16">
        <f t="shared" ref="L31" si="20">(L30/K30)-1</f>
        <v>0.23661033087360162</v>
      </c>
      <c r="M31" s="16">
        <f t="shared" ref="M31" si="21">(M30/L30)-1</f>
        <v>0.17844080846968247</v>
      </c>
      <c r="P31" s="18"/>
      <c r="Q31" s="18"/>
      <c r="R31" s="18"/>
    </row>
    <row r="32" spans="1:18" ht="19" x14ac:dyDescent="0.25">
      <c r="A32" s="5" t="s">
        <v>23</v>
      </c>
      <c r="B32" s="2">
        <v>-2.7300000000000001E-2</v>
      </c>
      <c r="C32" s="2">
        <v>-4.5999999999999999E-3</v>
      </c>
      <c r="D32" s="2">
        <v>-0.14030000000000001</v>
      </c>
      <c r="E32" s="2">
        <v>-1.3571</v>
      </c>
      <c r="F32" s="2">
        <v>-5.8799999999999998E-2</v>
      </c>
      <c r="G32" s="2">
        <v>0.22539999999999999</v>
      </c>
      <c r="H32" s="39">
        <f>H30/H5</f>
        <v>0.27150837988826815</v>
      </c>
      <c r="I32" s="39">
        <f t="shared" ref="I32:M32" si="22">I30/I5</f>
        <v>0.26062348396370499</v>
      </c>
      <c r="J32" s="39">
        <f t="shared" si="22"/>
        <v>0.26651912741068606</v>
      </c>
      <c r="K32" s="39">
        <f t="shared" si="22"/>
        <v>0.29305894663411231</v>
      </c>
      <c r="L32" s="39">
        <f t="shared" si="22"/>
        <v>0.3205998518884226</v>
      </c>
      <c r="M32" s="39">
        <f t="shared" si="22"/>
        <v>0.32802871992712856</v>
      </c>
    </row>
    <row r="33" spans="1:13" ht="19" x14ac:dyDescent="0.25">
      <c r="A33" s="5" t="s">
        <v>24</v>
      </c>
      <c r="B33" s="12">
        <v>-0.13</v>
      </c>
      <c r="C33" s="12">
        <v>-0.03</v>
      </c>
      <c r="D33" s="12">
        <v>-1.29</v>
      </c>
      <c r="E33" s="12">
        <v>-16.12</v>
      </c>
      <c r="F33" s="12">
        <v>-0.56999999999999995</v>
      </c>
      <c r="G33" s="12">
        <v>3.07</v>
      </c>
      <c r="H33" s="40">
        <v>4.0999999999999996</v>
      </c>
      <c r="I33" s="40">
        <v>4.54</v>
      </c>
      <c r="J33" s="40">
        <v>5.28</v>
      </c>
      <c r="K33" s="40">
        <v>6.58</v>
      </c>
      <c r="L33" s="40">
        <v>8.14</v>
      </c>
      <c r="M33" s="40">
        <v>9.59</v>
      </c>
    </row>
    <row r="34" spans="1:13" ht="19" x14ac:dyDescent="0.25">
      <c r="A34" s="5" t="s">
        <v>25</v>
      </c>
      <c r="B34" s="12">
        <v>-0.13</v>
      </c>
      <c r="C34" s="12">
        <v>-0.03</v>
      </c>
      <c r="D34" s="12">
        <v>-1.29</v>
      </c>
      <c r="E34" s="12">
        <v>-16.12</v>
      </c>
      <c r="F34" s="12">
        <v>-0.56999999999999995</v>
      </c>
      <c r="G34" s="12">
        <v>3.07</v>
      </c>
      <c r="H34" s="12"/>
    </row>
    <row r="35" spans="1:13" ht="19" x14ac:dyDescent="0.25">
      <c r="A35" s="5" t="s">
        <v>26</v>
      </c>
      <c r="B35" s="1">
        <v>521709000</v>
      </c>
      <c r="C35" s="1">
        <v>530945000</v>
      </c>
      <c r="D35" s="1">
        <v>521709000</v>
      </c>
      <c r="E35" s="1">
        <v>284363000</v>
      </c>
      <c r="F35" s="1">
        <v>615891000</v>
      </c>
      <c r="G35" s="1">
        <v>615891000</v>
      </c>
      <c r="H35" s="1" cm="1">
        <f t="array" ref="H35">_FV(A1,"Shares outstanding",TRUE)</f>
        <v>647283600</v>
      </c>
    </row>
    <row r="36" spans="1:13" ht="19" x14ac:dyDescent="0.25">
      <c r="A36" s="5" t="s">
        <v>27</v>
      </c>
      <c r="B36" s="1">
        <v>521709000</v>
      </c>
      <c r="C36" s="1">
        <v>530945000</v>
      </c>
      <c r="D36" s="1">
        <v>521709000</v>
      </c>
      <c r="E36" s="1">
        <v>284363000</v>
      </c>
      <c r="F36" s="1">
        <v>615891000</v>
      </c>
      <c r="G36" s="1">
        <v>615891000</v>
      </c>
      <c r="H36" s="1" cm="1">
        <f t="array" ref="H36">_FV(A1,"Shares outstanding",TRUE)</f>
        <v>647283600</v>
      </c>
    </row>
    <row r="37" spans="1:13" ht="19" x14ac:dyDescent="0.25">
      <c r="A37" s="17" t="s">
        <v>118</v>
      </c>
      <c r="B37" s="1"/>
      <c r="C37" s="25">
        <f>(C36-B36)/B36</f>
        <v>1.7703355702125129E-2</v>
      </c>
      <c r="D37" s="25">
        <f t="shared" ref="D37:H37" si="23">(D36-C36)/C36</f>
        <v>-1.7395398770117431E-2</v>
      </c>
      <c r="E37" s="25">
        <f t="shared" si="23"/>
        <v>-0.45493943941929316</v>
      </c>
      <c r="F37" s="25">
        <f t="shared" si="23"/>
        <v>1.1658619440644529</v>
      </c>
      <c r="G37" s="25">
        <f t="shared" si="23"/>
        <v>0</v>
      </c>
      <c r="H37" s="25">
        <f t="shared" si="23"/>
        <v>5.0971032211868661E-2</v>
      </c>
    </row>
    <row r="38" spans="1:13" ht="19" x14ac:dyDescent="0.25">
      <c r="A38" s="5" t="s">
        <v>28</v>
      </c>
      <c r="B38" s="13" t="s">
        <v>91</v>
      </c>
      <c r="C38" s="13" t="s">
        <v>91</v>
      </c>
      <c r="D38" s="13" t="s">
        <v>91</v>
      </c>
      <c r="E38" s="13" t="s">
        <v>91</v>
      </c>
      <c r="F38" s="13" t="s">
        <v>91</v>
      </c>
      <c r="G38" s="13" t="s">
        <v>91</v>
      </c>
      <c r="H38" s="13"/>
    </row>
    <row r="39" spans="1:13" ht="21" x14ac:dyDescent="0.25">
      <c r="A39" s="4" t="s">
        <v>29</v>
      </c>
      <c r="B39" s="9" t="s">
        <v>90</v>
      </c>
      <c r="C39" s="9" t="s">
        <v>90</v>
      </c>
      <c r="D39" s="9" t="s">
        <v>90</v>
      </c>
      <c r="E39" s="9" t="s">
        <v>90</v>
      </c>
      <c r="F39" s="9" t="s">
        <v>90</v>
      </c>
      <c r="G39" s="9" t="s">
        <v>90</v>
      </c>
      <c r="H39" s="9" t="s">
        <v>90</v>
      </c>
    </row>
    <row r="40" spans="1:13" ht="19" x14ac:dyDescent="0.25">
      <c r="A40" s="5" t="s">
        <v>30</v>
      </c>
      <c r="B40" s="1" t="s">
        <v>92</v>
      </c>
      <c r="C40" s="1">
        <v>2140877000</v>
      </c>
      <c r="D40" s="1">
        <v>2013547000</v>
      </c>
      <c r="E40" s="1">
        <v>5480557000</v>
      </c>
      <c r="F40" s="1">
        <v>6067438000</v>
      </c>
      <c r="G40" s="1">
        <v>7378000000</v>
      </c>
      <c r="H40" s="1"/>
    </row>
    <row r="41" spans="1:13" ht="19" x14ac:dyDescent="0.25">
      <c r="A41" s="5" t="s">
        <v>31</v>
      </c>
      <c r="B41" s="1" t="s">
        <v>92</v>
      </c>
      <c r="C41" s="1">
        <v>1188431000</v>
      </c>
      <c r="D41" s="1">
        <v>1060726000</v>
      </c>
      <c r="E41" s="1">
        <v>910700000</v>
      </c>
      <c r="F41" s="1">
        <v>2255038000</v>
      </c>
      <c r="G41" s="1">
        <v>2244000000</v>
      </c>
      <c r="H41" s="1"/>
    </row>
    <row r="42" spans="1:13" ht="19" x14ac:dyDescent="0.25">
      <c r="A42" s="5" t="s">
        <v>32</v>
      </c>
      <c r="B42" s="1" t="s">
        <v>92</v>
      </c>
      <c r="C42" s="1">
        <v>3329308000</v>
      </c>
      <c r="D42" s="1">
        <v>3074273000</v>
      </c>
      <c r="E42" s="1">
        <v>6391257000</v>
      </c>
      <c r="F42" s="1">
        <v>8322476000</v>
      </c>
      <c r="G42" s="1">
        <v>9622000000</v>
      </c>
      <c r="H42" s="1"/>
    </row>
    <row r="43" spans="1:13" ht="19" x14ac:dyDescent="0.25">
      <c r="A43" s="5" t="s">
        <v>33</v>
      </c>
      <c r="B43" s="1" t="s">
        <v>92</v>
      </c>
      <c r="C43" s="1">
        <v>2305011000</v>
      </c>
      <c r="D43" s="1">
        <v>3145457000</v>
      </c>
      <c r="E43" s="1">
        <v>2181329000</v>
      </c>
      <c r="F43" s="1">
        <v>3715471000</v>
      </c>
      <c r="G43" s="1">
        <v>4783000000</v>
      </c>
      <c r="H43" s="1"/>
    </row>
    <row r="44" spans="1:13" ht="19" x14ac:dyDescent="0.25">
      <c r="A44" s="5" t="s">
        <v>34</v>
      </c>
      <c r="B44" s="1" t="s">
        <v>92</v>
      </c>
      <c r="C44" s="1" t="s">
        <v>92</v>
      </c>
      <c r="D44" s="1" t="s">
        <v>92</v>
      </c>
      <c r="E44" s="1" t="s">
        <v>92</v>
      </c>
      <c r="F44" s="1" t="s">
        <v>92</v>
      </c>
      <c r="G44" s="1" t="s">
        <v>92</v>
      </c>
      <c r="H44" s="1"/>
    </row>
    <row r="45" spans="1:13" ht="19" x14ac:dyDescent="0.25">
      <c r="A45" s="5" t="s">
        <v>35</v>
      </c>
      <c r="B45" s="1" t="s">
        <v>92</v>
      </c>
      <c r="C45" s="1">
        <v>240213000</v>
      </c>
      <c r="D45" s="1">
        <v>341713000</v>
      </c>
      <c r="E45" s="1">
        <v>343800000</v>
      </c>
      <c r="F45" s="1">
        <v>348433000</v>
      </c>
      <c r="G45" s="1">
        <v>456000000</v>
      </c>
      <c r="H45" s="1"/>
    </row>
    <row r="46" spans="1:13" ht="19" x14ac:dyDescent="0.25">
      <c r="A46" s="6" t="s">
        <v>36</v>
      </c>
      <c r="B46" s="10" t="s">
        <v>92</v>
      </c>
      <c r="C46" s="10">
        <v>5874532000</v>
      </c>
      <c r="D46" s="10">
        <v>6561443000</v>
      </c>
      <c r="E46" s="10">
        <v>8916386000</v>
      </c>
      <c r="F46" s="10">
        <v>12386380000</v>
      </c>
      <c r="G46" s="10">
        <v>14861000000</v>
      </c>
      <c r="H46" s="10"/>
    </row>
    <row r="47" spans="1:13" ht="19" x14ac:dyDescent="0.25">
      <c r="A47" s="5" t="s">
        <v>37</v>
      </c>
      <c r="B47" s="1" t="s">
        <v>92</v>
      </c>
      <c r="C47" s="1">
        <v>309408000</v>
      </c>
      <c r="D47" s="1">
        <v>686867000</v>
      </c>
      <c r="E47" s="1">
        <v>654262000</v>
      </c>
      <c r="F47" s="1">
        <v>428621000</v>
      </c>
      <c r="G47" s="1">
        <v>259000000</v>
      </c>
      <c r="H47" s="1"/>
    </row>
    <row r="48" spans="1:13" ht="19" x14ac:dyDescent="0.25">
      <c r="A48" s="5" t="s">
        <v>38</v>
      </c>
      <c r="B48" s="1" t="s">
        <v>92</v>
      </c>
      <c r="C48" s="1">
        <v>289861000</v>
      </c>
      <c r="D48" s="1">
        <v>652088000</v>
      </c>
      <c r="E48" s="1">
        <v>655801000</v>
      </c>
      <c r="F48" s="1">
        <v>652602000</v>
      </c>
      <c r="G48" s="1">
        <v>650000000</v>
      </c>
      <c r="H48" s="1"/>
    </row>
    <row r="49" spans="1:8" ht="19" x14ac:dyDescent="0.25">
      <c r="A49" s="5" t="s">
        <v>39</v>
      </c>
      <c r="B49" s="1" t="s">
        <v>92</v>
      </c>
      <c r="C49" s="1">
        <v>28756000</v>
      </c>
      <c r="D49" s="1">
        <v>102912000</v>
      </c>
      <c r="E49" s="1">
        <v>75886000</v>
      </c>
      <c r="F49" s="1">
        <v>52308000</v>
      </c>
      <c r="G49" s="1">
        <v>34000000</v>
      </c>
      <c r="H49" s="1"/>
    </row>
    <row r="50" spans="1:8" ht="19" x14ac:dyDescent="0.25">
      <c r="A50" s="5" t="s">
        <v>40</v>
      </c>
      <c r="B50" s="1" t="s">
        <v>92</v>
      </c>
      <c r="C50" s="1">
        <v>318617000</v>
      </c>
      <c r="D50" s="1">
        <v>755000000</v>
      </c>
      <c r="E50" s="1">
        <v>731687000</v>
      </c>
      <c r="F50" s="1">
        <v>704910000</v>
      </c>
      <c r="G50" s="1">
        <v>684000000</v>
      </c>
      <c r="H50" s="1"/>
    </row>
    <row r="51" spans="1:8" ht="19" x14ac:dyDescent="0.25">
      <c r="A51" s="5" t="s">
        <v>41</v>
      </c>
      <c r="B51" s="1" t="s">
        <v>92</v>
      </c>
      <c r="C51" s="1" t="s">
        <v>92</v>
      </c>
      <c r="D51" s="1" t="s">
        <v>92</v>
      </c>
      <c r="E51" s="1" t="s">
        <v>92</v>
      </c>
      <c r="F51" s="1" t="s">
        <v>92</v>
      </c>
      <c r="G51" s="1" t="s">
        <v>92</v>
      </c>
      <c r="H51" s="1"/>
    </row>
    <row r="52" spans="1:8" ht="19" x14ac:dyDescent="0.25">
      <c r="A52" s="5" t="s">
        <v>42</v>
      </c>
      <c r="B52" s="1" t="s">
        <v>92</v>
      </c>
      <c r="C52" s="1" t="s">
        <v>92</v>
      </c>
      <c r="D52" s="1" t="s">
        <v>92</v>
      </c>
      <c r="E52" s="1" t="s">
        <v>92</v>
      </c>
      <c r="F52" s="1" t="s">
        <v>92</v>
      </c>
      <c r="G52" s="1" t="s">
        <v>92</v>
      </c>
      <c r="H52" s="1"/>
    </row>
    <row r="53" spans="1:8" ht="19" x14ac:dyDescent="0.25">
      <c r="A53" s="5" t="s">
        <v>43</v>
      </c>
      <c r="B53" s="1" t="s">
        <v>92</v>
      </c>
      <c r="C53" s="1">
        <v>110532000</v>
      </c>
      <c r="D53" s="1">
        <v>306809000</v>
      </c>
      <c r="E53" s="1">
        <v>189164000</v>
      </c>
      <c r="F53" s="1">
        <v>188563000</v>
      </c>
      <c r="G53" s="1">
        <v>234000000</v>
      </c>
      <c r="H53" s="1"/>
    </row>
    <row r="54" spans="1:8" ht="19" x14ac:dyDescent="0.25">
      <c r="A54" s="5" t="s">
        <v>44</v>
      </c>
      <c r="B54" s="1" t="s">
        <v>92</v>
      </c>
      <c r="C54" s="1">
        <v>738557000</v>
      </c>
      <c r="D54" s="1">
        <v>1748676000</v>
      </c>
      <c r="E54" s="1">
        <v>1575113000</v>
      </c>
      <c r="F54" s="1">
        <v>1322094000</v>
      </c>
      <c r="G54" s="1">
        <v>1177000000</v>
      </c>
      <c r="H54" s="1"/>
    </row>
    <row r="55" spans="1:8" ht="19" x14ac:dyDescent="0.25">
      <c r="A55" s="5" t="s">
        <v>45</v>
      </c>
      <c r="B55" s="1" t="s">
        <v>92</v>
      </c>
      <c r="C55" s="1" t="s">
        <v>92</v>
      </c>
      <c r="D55" s="1" t="s">
        <v>92</v>
      </c>
      <c r="E55" s="1" t="s">
        <v>92</v>
      </c>
      <c r="F55" s="1" t="s">
        <v>92</v>
      </c>
      <c r="G55" s="1" t="s">
        <v>92</v>
      </c>
      <c r="H55" s="1"/>
    </row>
    <row r="56" spans="1:8" ht="20" thickBot="1" x14ac:dyDescent="0.3">
      <c r="A56" s="7" t="s">
        <v>46</v>
      </c>
      <c r="B56" s="11" t="s">
        <v>92</v>
      </c>
      <c r="C56" s="11">
        <v>6613089000</v>
      </c>
      <c r="D56" s="11">
        <v>8310119000</v>
      </c>
      <c r="E56" s="11">
        <v>10491499000</v>
      </c>
      <c r="F56" s="11">
        <v>13708474000</v>
      </c>
      <c r="G56" s="11">
        <v>16038000000</v>
      </c>
      <c r="H56" s="11"/>
    </row>
    <row r="57" spans="1:8" ht="20" thickTop="1" x14ac:dyDescent="0.25">
      <c r="A57" s="5" t="s">
        <v>47</v>
      </c>
      <c r="B57" s="1" t="s">
        <v>92</v>
      </c>
      <c r="C57" s="1">
        <v>70630000</v>
      </c>
      <c r="D57" s="1">
        <v>151417000</v>
      </c>
      <c r="E57" s="1">
        <v>79898000</v>
      </c>
      <c r="F57" s="1">
        <v>118361000</v>
      </c>
      <c r="G57" s="1">
        <v>137000000</v>
      </c>
      <c r="H57" s="1"/>
    </row>
    <row r="58" spans="1:8" ht="19" x14ac:dyDescent="0.25">
      <c r="A58" s="5" t="s">
        <v>48</v>
      </c>
      <c r="B58" s="1" t="s">
        <v>92</v>
      </c>
      <c r="C58" s="1" t="s">
        <v>92</v>
      </c>
      <c r="D58" s="1">
        <v>38022000</v>
      </c>
      <c r="E58" s="1">
        <v>83341000</v>
      </c>
      <c r="F58" s="1">
        <v>63479000</v>
      </c>
      <c r="G58" s="1">
        <v>59000000</v>
      </c>
      <c r="H58" s="1"/>
    </row>
    <row r="59" spans="1:8" ht="19" x14ac:dyDescent="0.25">
      <c r="A59" s="5" t="s">
        <v>49</v>
      </c>
      <c r="B59" s="1" t="s">
        <v>92</v>
      </c>
      <c r="C59" s="1">
        <v>159901000</v>
      </c>
      <c r="D59" s="1">
        <v>207462000</v>
      </c>
      <c r="E59" s="1">
        <v>165257000</v>
      </c>
      <c r="F59" s="1">
        <v>334728000</v>
      </c>
      <c r="G59" s="1" t="s">
        <v>92</v>
      </c>
      <c r="H59" s="1"/>
    </row>
    <row r="60" spans="1:8" ht="19" x14ac:dyDescent="0.25">
      <c r="A60" s="5" t="s">
        <v>50</v>
      </c>
      <c r="B60" s="1" t="s">
        <v>92</v>
      </c>
      <c r="C60" s="1" t="s">
        <v>92</v>
      </c>
      <c r="D60" s="1" t="s">
        <v>92</v>
      </c>
      <c r="E60" s="1" t="s">
        <v>92</v>
      </c>
      <c r="F60" s="1" t="s">
        <v>92</v>
      </c>
      <c r="G60" s="1">
        <v>1182000000</v>
      </c>
      <c r="H60" s="1"/>
    </row>
    <row r="61" spans="1:8" ht="19" x14ac:dyDescent="0.25">
      <c r="A61" s="5" t="s">
        <v>51</v>
      </c>
      <c r="B61" s="1" t="s">
        <v>92</v>
      </c>
      <c r="C61" s="1">
        <v>3505479000</v>
      </c>
      <c r="D61" s="1">
        <v>4836863000</v>
      </c>
      <c r="E61" s="1">
        <v>4811283000</v>
      </c>
      <c r="F61" s="1">
        <v>5842714000</v>
      </c>
      <c r="G61" s="1">
        <v>6600000000</v>
      </c>
      <c r="H61" s="1"/>
    </row>
    <row r="62" spans="1:8" ht="19" x14ac:dyDescent="0.25">
      <c r="A62" s="6" t="s">
        <v>52</v>
      </c>
      <c r="B62" s="10" t="s">
        <v>92</v>
      </c>
      <c r="C62" s="10">
        <v>3736010000</v>
      </c>
      <c r="D62" s="10">
        <v>5233764000</v>
      </c>
      <c r="E62" s="10">
        <v>5139779000</v>
      </c>
      <c r="F62" s="10">
        <v>6359282000</v>
      </c>
      <c r="G62" s="10">
        <v>7978000000</v>
      </c>
      <c r="H62" s="10"/>
    </row>
    <row r="63" spans="1:8" ht="19" x14ac:dyDescent="0.25">
      <c r="A63" s="5" t="s">
        <v>53</v>
      </c>
      <c r="B63" s="1" t="s">
        <v>92</v>
      </c>
      <c r="C63" s="1" t="s">
        <v>92</v>
      </c>
      <c r="D63" s="1">
        <v>381374000</v>
      </c>
      <c r="E63" s="1">
        <v>2246467000</v>
      </c>
      <c r="F63" s="1">
        <v>2355020000</v>
      </c>
      <c r="G63" s="1">
        <v>2282000000</v>
      </c>
      <c r="H63" s="1"/>
    </row>
    <row r="64" spans="1:8" ht="19" x14ac:dyDescent="0.25">
      <c r="A64" s="5" t="s">
        <v>50</v>
      </c>
      <c r="B64" s="1" t="s">
        <v>92</v>
      </c>
      <c r="C64" s="1" t="s">
        <v>92</v>
      </c>
      <c r="D64" s="1" t="s">
        <v>92</v>
      </c>
      <c r="E64" s="1" t="s">
        <v>92</v>
      </c>
      <c r="F64" s="1" t="s">
        <v>92</v>
      </c>
      <c r="G64" s="1" t="s">
        <v>92</v>
      </c>
      <c r="H64" s="1"/>
    </row>
    <row r="65" spans="1:14" ht="19" x14ac:dyDescent="0.25">
      <c r="A65" s="5" t="s">
        <v>54</v>
      </c>
      <c r="B65" s="1" t="s">
        <v>92</v>
      </c>
      <c r="C65" s="1" t="s">
        <v>92</v>
      </c>
      <c r="D65" s="1" t="s">
        <v>92</v>
      </c>
      <c r="E65" s="1" t="s">
        <v>92</v>
      </c>
      <c r="F65" s="1" t="s">
        <v>92</v>
      </c>
      <c r="G65" s="1" t="s">
        <v>92</v>
      </c>
      <c r="H65" s="1"/>
    </row>
    <row r="66" spans="1:14" ht="19" x14ac:dyDescent="0.25">
      <c r="A66" s="5" t="s">
        <v>55</v>
      </c>
      <c r="B66" s="1" t="s">
        <v>92</v>
      </c>
      <c r="C66" s="1">
        <v>3394387000</v>
      </c>
      <c r="D66" s="1">
        <v>3502666000</v>
      </c>
      <c r="E66" s="1">
        <v>203470000</v>
      </c>
      <c r="F66" s="1">
        <v>218459000</v>
      </c>
      <c r="G66" s="1">
        <v>218000000</v>
      </c>
      <c r="H66" s="1"/>
    </row>
    <row r="67" spans="1:14" ht="19" x14ac:dyDescent="0.25">
      <c r="A67" s="5" t="s">
        <v>56</v>
      </c>
      <c r="B67" s="1" t="s">
        <v>92</v>
      </c>
      <c r="C67" s="1">
        <v>3394387000</v>
      </c>
      <c r="D67" s="1">
        <v>3884040000</v>
      </c>
      <c r="E67" s="1">
        <v>2449937000</v>
      </c>
      <c r="F67" s="1">
        <v>2573479000</v>
      </c>
      <c r="G67" s="1">
        <v>2500000000</v>
      </c>
      <c r="H67" s="1"/>
    </row>
    <row r="68" spans="1:14" ht="19" x14ac:dyDescent="0.25">
      <c r="A68" s="5" t="s">
        <v>57</v>
      </c>
      <c r="B68" s="1" t="s">
        <v>92</v>
      </c>
      <c r="C68" s="1" t="s">
        <v>92</v>
      </c>
      <c r="D68" s="1" t="s">
        <v>92</v>
      </c>
      <c r="E68" s="1" t="s">
        <v>92</v>
      </c>
      <c r="F68" s="1" t="s">
        <v>92</v>
      </c>
      <c r="G68" s="1" t="s">
        <v>92</v>
      </c>
      <c r="H68" s="1"/>
    </row>
    <row r="69" spans="1:14" ht="19" x14ac:dyDescent="0.25">
      <c r="A69" s="6" t="s">
        <v>58</v>
      </c>
      <c r="B69" s="10" t="s">
        <v>92</v>
      </c>
      <c r="C69" s="10">
        <v>7130397000</v>
      </c>
      <c r="D69" s="10">
        <v>9117804000</v>
      </c>
      <c r="E69" s="10">
        <v>7589716000</v>
      </c>
      <c r="F69" s="10">
        <v>8932761000</v>
      </c>
      <c r="G69" s="10">
        <v>10478000000</v>
      </c>
      <c r="H69" s="10"/>
    </row>
    <row r="70" spans="1:14" ht="19" x14ac:dyDescent="0.25">
      <c r="A70" s="5" t="s">
        <v>59</v>
      </c>
      <c r="B70" s="1" t="s">
        <v>92</v>
      </c>
      <c r="C70" s="1">
        <v>26000</v>
      </c>
      <c r="D70" s="1">
        <v>26000</v>
      </c>
      <c r="E70" s="1">
        <v>60000</v>
      </c>
      <c r="F70" s="1">
        <v>63000</v>
      </c>
      <c r="G70" s="1" t="s">
        <v>92</v>
      </c>
      <c r="H70" s="1"/>
    </row>
    <row r="71" spans="1:14" ht="19" x14ac:dyDescent="0.25">
      <c r="A71" s="5" t="s">
        <v>60</v>
      </c>
      <c r="B71" s="1" t="s">
        <v>92</v>
      </c>
      <c r="C71" s="1">
        <v>-768888000</v>
      </c>
      <c r="D71" s="1">
        <v>-1420991000</v>
      </c>
      <c r="E71" s="1">
        <v>-6005707000</v>
      </c>
      <c r="F71" s="1">
        <v>-6357741000</v>
      </c>
      <c r="G71" s="1">
        <v>-5965000000</v>
      </c>
      <c r="H71" s="1"/>
    </row>
    <row r="72" spans="1:14" ht="19" x14ac:dyDescent="0.25">
      <c r="A72" s="5" t="s">
        <v>61</v>
      </c>
      <c r="B72" s="1" t="s">
        <v>92</v>
      </c>
      <c r="C72" s="1">
        <v>-7912000</v>
      </c>
      <c r="D72" s="1">
        <v>-4410000</v>
      </c>
      <c r="E72" s="1">
        <v>2639000</v>
      </c>
      <c r="F72" s="1">
        <v>-6893000</v>
      </c>
      <c r="G72" s="1">
        <v>-32000000</v>
      </c>
      <c r="H72" s="1"/>
    </row>
    <row r="73" spans="1:14" ht="19" x14ac:dyDescent="0.25">
      <c r="A73" s="5" t="s">
        <v>62</v>
      </c>
      <c r="B73" s="1" t="s">
        <v>92</v>
      </c>
      <c r="C73" s="1">
        <v>259466000</v>
      </c>
      <c r="D73" s="1">
        <v>617690000</v>
      </c>
      <c r="E73" s="1">
        <v>8904791000</v>
      </c>
      <c r="F73" s="1">
        <v>11140284000</v>
      </c>
      <c r="G73" s="1">
        <v>11557000000</v>
      </c>
      <c r="H73" s="1"/>
    </row>
    <row r="74" spans="1:14" ht="19" x14ac:dyDescent="0.25">
      <c r="A74" s="6" t="s">
        <v>63</v>
      </c>
      <c r="B74" s="10" t="s">
        <v>92</v>
      </c>
      <c r="C74" s="10">
        <v>-517308000</v>
      </c>
      <c r="D74" s="10">
        <v>-807685000</v>
      </c>
      <c r="E74" s="10">
        <v>2901783000</v>
      </c>
      <c r="F74" s="10">
        <v>4775713000</v>
      </c>
      <c r="G74" s="10">
        <v>5560000000</v>
      </c>
      <c r="H74" s="10"/>
      <c r="N74" s="26"/>
    </row>
    <row r="75" spans="1:14" ht="20" thickBot="1" x14ac:dyDescent="0.3">
      <c r="A75" s="7" t="s">
        <v>64</v>
      </c>
      <c r="B75" s="11" t="s">
        <v>92</v>
      </c>
      <c r="C75" s="11">
        <v>6613089000</v>
      </c>
      <c r="D75" s="11">
        <v>8310119000</v>
      </c>
      <c r="E75" s="11">
        <v>10491499000</v>
      </c>
      <c r="F75" s="11">
        <v>13708474000</v>
      </c>
      <c r="G75" s="11">
        <v>16038000000</v>
      </c>
      <c r="H75" s="11"/>
    </row>
    <row r="76" spans="1:14" ht="20" thickTop="1" x14ac:dyDescent="0.25">
      <c r="A76" s="5" t="s">
        <v>28</v>
      </c>
      <c r="B76" s="13" t="s">
        <v>91</v>
      </c>
      <c r="C76" s="13" t="s">
        <v>91</v>
      </c>
      <c r="D76" s="13" t="s">
        <v>91</v>
      </c>
      <c r="E76" s="13" t="s">
        <v>91</v>
      </c>
      <c r="F76" s="13" t="s">
        <v>91</v>
      </c>
      <c r="G76" s="13" t="s">
        <v>91</v>
      </c>
      <c r="H76" s="13"/>
    </row>
    <row r="77" spans="1:14" ht="21" x14ac:dyDescent="0.25">
      <c r="A77" s="4" t="s">
        <v>65</v>
      </c>
      <c r="B77" s="9" t="s">
        <v>90</v>
      </c>
      <c r="C77" s="9" t="s">
        <v>90</v>
      </c>
      <c r="D77" s="9" t="s">
        <v>90</v>
      </c>
      <c r="E77" s="9" t="s">
        <v>90</v>
      </c>
      <c r="F77" s="9" t="s">
        <v>90</v>
      </c>
      <c r="G77" s="9" t="s">
        <v>90</v>
      </c>
      <c r="H77" s="9" t="s">
        <v>90</v>
      </c>
    </row>
    <row r="78" spans="1:14" ht="19" x14ac:dyDescent="0.25">
      <c r="A78" s="5" t="s">
        <v>66</v>
      </c>
      <c r="B78" s="1">
        <v>-70046000</v>
      </c>
      <c r="C78" s="1">
        <v>-16860000</v>
      </c>
      <c r="D78" s="1">
        <v>-674339000</v>
      </c>
      <c r="E78" s="1">
        <v>-4584716000</v>
      </c>
      <c r="F78" s="1">
        <v>-352034000</v>
      </c>
      <c r="G78" s="1">
        <v>1893000000</v>
      </c>
      <c r="H78" s="1"/>
    </row>
    <row r="79" spans="1:14" ht="19" x14ac:dyDescent="0.25">
      <c r="A79" s="5" t="s">
        <v>13</v>
      </c>
      <c r="B79" s="1">
        <v>79342000</v>
      </c>
      <c r="C79" s="1">
        <v>82401000</v>
      </c>
      <c r="D79" s="1">
        <v>114162000</v>
      </c>
      <c r="E79" s="1">
        <v>125876000</v>
      </c>
      <c r="F79" s="1">
        <v>138319000</v>
      </c>
      <c r="G79" s="1">
        <v>81000000</v>
      </c>
      <c r="H79" s="1"/>
    </row>
    <row r="80" spans="1:14" ht="19" x14ac:dyDescent="0.25">
      <c r="A80" s="5" t="s">
        <v>67</v>
      </c>
      <c r="B80" s="1">
        <v>-4180000</v>
      </c>
      <c r="C80" s="1">
        <v>-5017000</v>
      </c>
      <c r="D80" s="1">
        <v>-5627000</v>
      </c>
      <c r="E80" s="1">
        <v>-19601000</v>
      </c>
      <c r="F80" s="1">
        <v>10935000</v>
      </c>
      <c r="G80" s="1">
        <v>-1000000</v>
      </c>
      <c r="H80" s="1"/>
    </row>
    <row r="81" spans="1:18" ht="19" x14ac:dyDescent="0.25">
      <c r="A81" s="5" t="s">
        <v>68</v>
      </c>
      <c r="B81" s="1">
        <v>38357000</v>
      </c>
      <c r="C81" s="1">
        <v>53893000</v>
      </c>
      <c r="D81" s="1">
        <v>97547000</v>
      </c>
      <c r="E81" s="1">
        <v>3001948000</v>
      </c>
      <c r="F81" s="1">
        <v>898830000</v>
      </c>
      <c r="G81" s="1">
        <v>930000000</v>
      </c>
      <c r="H81" s="1"/>
    </row>
    <row r="82" spans="1:18" ht="19" x14ac:dyDescent="0.25">
      <c r="A82" s="17" t="s">
        <v>104</v>
      </c>
      <c r="B82" s="18">
        <f t="shared" ref="B82:G82" si="24">B81/B5</f>
        <v>1.4973137199562326E-2</v>
      </c>
      <c r="C82" s="18">
        <f t="shared" si="24"/>
        <v>1.4757179999370205E-2</v>
      </c>
      <c r="D82" s="18">
        <f t="shared" si="24"/>
        <v>2.030013491524563E-2</v>
      </c>
      <c r="E82" s="18">
        <f t="shared" si="24"/>
        <v>0.88862379036877337</v>
      </c>
      <c r="F82" s="18">
        <f t="shared" si="24"/>
        <v>0.15001101512744169</v>
      </c>
      <c r="G82" s="18">
        <f t="shared" si="24"/>
        <v>0.11072746755566139</v>
      </c>
      <c r="H82" s="18"/>
      <c r="I82" s="18"/>
      <c r="J82" s="18"/>
      <c r="K82" s="18"/>
      <c r="L82" s="18"/>
      <c r="M82" s="18"/>
      <c r="N82" s="18"/>
      <c r="O82" s="18"/>
      <c r="P82" s="18"/>
      <c r="Q82" s="18"/>
      <c r="R82" s="18"/>
    </row>
    <row r="83" spans="1:18" ht="19" x14ac:dyDescent="0.25">
      <c r="A83" s="5" t="s">
        <v>69</v>
      </c>
      <c r="B83" s="1">
        <v>183202000</v>
      </c>
      <c r="C83" s="1">
        <v>421029000</v>
      </c>
      <c r="D83" s="1">
        <v>620382000</v>
      </c>
      <c r="E83" s="1">
        <v>-284610000</v>
      </c>
      <c r="F83" s="1">
        <v>637923000</v>
      </c>
      <c r="G83" s="1">
        <v>319000000</v>
      </c>
      <c r="H83" s="1"/>
    </row>
    <row r="84" spans="1:18" ht="19" x14ac:dyDescent="0.25">
      <c r="A84" s="5" t="s">
        <v>70</v>
      </c>
      <c r="B84" s="1" t="s">
        <v>92</v>
      </c>
      <c r="C84" s="1" t="s">
        <v>92</v>
      </c>
      <c r="D84" s="1" t="s">
        <v>92</v>
      </c>
      <c r="E84" s="1" t="s">
        <v>92</v>
      </c>
      <c r="F84" s="1" t="s">
        <v>92</v>
      </c>
      <c r="G84" s="1" t="s">
        <v>92</v>
      </c>
      <c r="H84" s="1"/>
    </row>
    <row r="85" spans="1:18" ht="19" customHeight="1" x14ac:dyDescent="0.25">
      <c r="A85" s="5" t="s">
        <v>34</v>
      </c>
      <c r="B85" s="1" t="s">
        <v>92</v>
      </c>
      <c r="C85" s="1" t="s">
        <v>92</v>
      </c>
      <c r="D85" s="1" t="s">
        <v>92</v>
      </c>
      <c r="E85" s="1" t="s">
        <v>92</v>
      </c>
      <c r="F85" s="1" t="s">
        <v>92</v>
      </c>
      <c r="G85" s="1" t="s">
        <v>92</v>
      </c>
      <c r="H85" s="1"/>
      <c r="I85" s="26"/>
      <c r="J85" s="26"/>
      <c r="K85" s="26"/>
      <c r="L85" s="26"/>
      <c r="M85" s="26"/>
      <c r="N85" s="26"/>
      <c r="O85" s="82" t="s">
        <v>152</v>
      </c>
      <c r="P85" s="83"/>
    </row>
    <row r="86" spans="1:18" ht="20" customHeight="1" x14ac:dyDescent="0.25">
      <c r="A86" s="5" t="s">
        <v>47</v>
      </c>
      <c r="B86" s="1">
        <v>11758000</v>
      </c>
      <c r="C86" s="1">
        <v>29837000</v>
      </c>
      <c r="D86" s="1">
        <v>75716000</v>
      </c>
      <c r="E86" s="1">
        <v>-73111000</v>
      </c>
      <c r="F86" s="1">
        <v>39946000</v>
      </c>
      <c r="G86" s="1">
        <v>20000000</v>
      </c>
      <c r="H86" s="1"/>
      <c r="I86" s="26"/>
      <c r="J86" s="26"/>
      <c r="K86" s="26"/>
      <c r="L86" s="26"/>
      <c r="M86" s="26"/>
      <c r="N86" s="26"/>
      <c r="O86" s="84" t="s">
        <v>121</v>
      </c>
      <c r="P86" s="84"/>
    </row>
    <row r="87" spans="1:18" ht="20" x14ac:dyDescent="0.25">
      <c r="A87" s="5" t="s">
        <v>71</v>
      </c>
      <c r="B87" s="1">
        <v>135394000</v>
      </c>
      <c r="C87" s="1">
        <v>145895000</v>
      </c>
      <c r="D87" s="1">
        <v>176254000</v>
      </c>
      <c r="E87" s="1">
        <v>-267009000</v>
      </c>
      <c r="F87" s="1">
        <v>495816000</v>
      </c>
      <c r="G87" s="1">
        <v>280000000</v>
      </c>
      <c r="H87" s="1"/>
      <c r="I87" s="26"/>
      <c r="J87" s="26"/>
      <c r="K87" s="26"/>
      <c r="L87" s="26"/>
      <c r="M87" s="26"/>
      <c r="N87" s="26"/>
      <c r="O87" s="45" t="s">
        <v>101</v>
      </c>
      <c r="P87" s="57">
        <f>G19</f>
        <v>24000000</v>
      </c>
    </row>
    <row r="88" spans="1:18" ht="20" x14ac:dyDescent="0.25">
      <c r="A88" s="5" t="s">
        <v>72</v>
      </c>
      <c r="B88" s="1">
        <v>24550000</v>
      </c>
      <c r="C88" s="1">
        <v>60111000</v>
      </c>
      <c r="D88" s="1">
        <v>70602000</v>
      </c>
      <c r="E88" s="1">
        <v>1131371000</v>
      </c>
      <c r="F88" s="1">
        <v>855721000</v>
      </c>
      <c r="G88" s="1">
        <v>208000000</v>
      </c>
      <c r="H88" s="1"/>
      <c r="I88" s="26"/>
      <c r="J88" s="26"/>
      <c r="K88" s="26"/>
      <c r="L88" s="26"/>
      <c r="M88" s="26"/>
      <c r="N88" s="26"/>
      <c r="O88" s="45" t="s">
        <v>122</v>
      </c>
      <c r="P88" s="57">
        <f>G58</f>
        <v>59000000</v>
      </c>
    </row>
    <row r="89" spans="1:18" ht="20" x14ac:dyDescent="0.25">
      <c r="A89" s="6" t="s">
        <v>73</v>
      </c>
      <c r="B89" s="10">
        <v>251225000</v>
      </c>
      <c r="C89" s="10">
        <v>595557000</v>
      </c>
      <c r="D89" s="10">
        <v>222727000</v>
      </c>
      <c r="E89" s="10">
        <v>-629732000</v>
      </c>
      <c r="F89" s="10">
        <v>2189694000</v>
      </c>
      <c r="G89" s="10">
        <v>3430000000</v>
      </c>
      <c r="H89" s="10"/>
      <c r="I89" s="26"/>
      <c r="J89" s="26"/>
      <c r="K89" s="26"/>
      <c r="L89" s="26"/>
      <c r="M89" s="26"/>
      <c r="N89" s="26"/>
      <c r="O89" s="45" t="s">
        <v>123</v>
      </c>
      <c r="P89" s="57">
        <f>G63</f>
        <v>2282000000</v>
      </c>
    </row>
    <row r="90" spans="1:18" ht="20" x14ac:dyDescent="0.25">
      <c r="A90" s="5" t="s">
        <v>74</v>
      </c>
      <c r="B90" s="1">
        <v>-100204000</v>
      </c>
      <c r="C90" s="1">
        <v>-90624000</v>
      </c>
      <c r="D90" s="1">
        <v>-125452000</v>
      </c>
      <c r="E90" s="1">
        <v>-37371000</v>
      </c>
      <c r="F90" s="1">
        <v>-25322000</v>
      </c>
      <c r="G90" s="1">
        <v>-25000000</v>
      </c>
      <c r="H90" s="1"/>
      <c r="I90" s="26"/>
      <c r="J90" s="26"/>
      <c r="K90" s="26"/>
      <c r="L90" s="26"/>
      <c r="M90" s="26"/>
      <c r="N90" s="26"/>
      <c r="O90" s="46" t="s">
        <v>124</v>
      </c>
      <c r="P90" s="58">
        <f>P87/(P88+P89)</f>
        <v>1.0252029047415635E-2</v>
      </c>
    </row>
    <row r="91" spans="1:18" ht="20" x14ac:dyDescent="0.25">
      <c r="A91" s="17" t="s">
        <v>105</v>
      </c>
      <c r="B91" s="18">
        <f t="shared" ref="B91:G91" si="25">(-1*B90)/B5</f>
        <v>3.9115891230934202E-2</v>
      </c>
      <c r="C91" s="18">
        <f t="shared" si="25"/>
        <v>2.4814997871020827E-2</v>
      </c>
      <c r="D91" s="18">
        <f t="shared" si="25"/>
        <v>2.6107338261426746E-2</v>
      </c>
      <c r="E91" s="18">
        <f t="shared" si="25"/>
        <v>1.1062403369369299E-2</v>
      </c>
      <c r="F91" s="18">
        <f t="shared" si="25"/>
        <v>4.2261372284604186E-3</v>
      </c>
      <c r="G91" s="18">
        <f t="shared" si="25"/>
        <v>2.9765448267650911E-3</v>
      </c>
      <c r="H91" s="18"/>
      <c r="I91" s="26"/>
      <c r="J91" s="26"/>
      <c r="K91" s="26"/>
      <c r="L91" s="26"/>
      <c r="M91" s="26"/>
      <c r="N91" s="26"/>
      <c r="O91" s="45" t="s">
        <v>125</v>
      </c>
      <c r="P91" s="57">
        <f>G29</f>
        <v>96000000</v>
      </c>
      <c r="Q91" s="18"/>
      <c r="R91" s="18"/>
    </row>
    <row r="92" spans="1:18" ht="20" x14ac:dyDescent="0.25">
      <c r="A92" s="5" t="s">
        <v>75</v>
      </c>
      <c r="B92" s="1">
        <v>-176649000</v>
      </c>
      <c r="C92" s="1">
        <v>-60150000</v>
      </c>
      <c r="D92" s="1">
        <v>-400298000</v>
      </c>
      <c r="E92" s="1" t="s">
        <v>92</v>
      </c>
      <c r="F92" s="1" t="s">
        <v>92</v>
      </c>
      <c r="G92" s="1" t="s">
        <v>92</v>
      </c>
      <c r="H92" s="1"/>
      <c r="I92" s="59"/>
      <c r="J92" s="59"/>
      <c r="K92" s="59"/>
      <c r="L92" s="59"/>
      <c r="M92" s="59"/>
      <c r="N92" s="59"/>
      <c r="O92" s="45" t="s">
        <v>19</v>
      </c>
      <c r="P92" s="57">
        <f>G27</f>
        <v>1989000000</v>
      </c>
    </row>
    <row r="93" spans="1:18" ht="20" x14ac:dyDescent="0.25">
      <c r="A93" s="5" t="s">
        <v>76</v>
      </c>
      <c r="B93" s="1">
        <v>-1040246000</v>
      </c>
      <c r="C93" s="1">
        <v>-1270578000</v>
      </c>
      <c r="D93" s="1">
        <v>-1016155000</v>
      </c>
      <c r="E93" s="1">
        <v>-3032664000</v>
      </c>
      <c r="F93" s="1">
        <v>-4938188000</v>
      </c>
      <c r="G93" s="1">
        <v>-4072000000</v>
      </c>
      <c r="H93" s="1"/>
      <c r="I93" s="26"/>
      <c r="J93" s="26"/>
      <c r="K93" s="26"/>
      <c r="L93" s="26"/>
      <c r="M93" s="26"/>
      <c r="N93" s="26"/>
      <c r="O93" s="46" t="s">
        <v>126</v>
      </c>
      <c r="P93" s="58">
        <f>P91/P92</f>
        <v>4.8265460030165915E-2</v>
      </c>
    </row>
    <row r="94" spans="1:18" ht="19" customHeight="1" x14ac:dyDescent="0.25">
      <c r="A94" s="5" t="s">
        <v>77</v>
      </c>
      <c r="B94" s="1">
        <v>528155000</v>
      </c>
      <c r="C94" s="1">
        <v>756471000</v>
      </c>
      <c r="D94" s="1">
        <v>1161085000</v>
      </c>
      <c r="E94" s="1">
        <v>3158225000</v>
      </c>
      <c r="F94" s="1">
        <v>3611055000</v>
      </c>
      <c r="G94" s="1">
        <v>4071000000</v>
      </c>
      <c r="H94" s="1"/>
      <c r="I94" s="26"/>
      <c r="J94" s="26"/>
      <c r="K94" s="26"/>
      <c r="L94" s="26"/>
      <c r="M94" s="26"/>
      <c r="N94" s="26"/>
      <c r="O94" s="46" t="s">
        <v>127</v>
      </c>
      <c r="P94" s="58">
        <f>P90*(1-P93)</f>
        <v>9.7572101491994953E-3</v>
      </c>
    </row>
    <row r="95" spans="1:18" ht="20" customHeight="1" x14ac:dyDescent="0.25">
      <c r="A95" s="5" t="s">
        <v>78</v>
      </c>
      <c r="B95" s="1" t="s">
        <v>92</v>
      </c>
      <c r="C95" s="1">
        <v>-3290000</v>
      </c>
      <c r="D95" s="1">
        <v>33665000</v>
      </c>
      <c r="E95" s="1">
        <v>-8600000</v>
      </c>
      <c r="F95" s="1">
        <v>500000</v>
      </c>
      <c r="G95" s="1">
        <v>-2000000</v>
      </c>
      <c r="H95" s="1"/>
      <c r="I95" s="26"/>
      <c r="J95" s="26"/>
      <c r="K95" s="26"/>
      <c r="L95" s="26"/>
      <c r="M95" s="26"/>
      <c r="N95" s="26"/>
      <c r="O95" s="84" t="s">
        <v>128</v>
      </c>
      <c r="P95" s="84"/>
    </row>
    <row r="96" spans="1:18" ht="20" x14ac:dyDescent="0.25">
      <c r="A96" s="6" t="s">
        <v>79</v>
      </c>
      <c r="B96" s="10">
        <v>-788944000</v>
      </c>
      <c r="C96" s="10">
        <v>-668171000</v>
      </c>
      <c r="D96" s="10">
        <v>-347155000</v>
      </c>
      <c r="E96" s="10">
        <v>79590000</v>
      </c>
      <c r="F96" s="10">
        <v>-1351955000</v>
      </c>
      <c r="G96" s="10">
        <v>-28000000</v>
      </c>
      <c r="H96" s="10"/>
      <c r="I96" s="26"/>
      <c r="J96" s="26"/>
      <c r="K96" s="26"/>
      <c r="L96" s="26"/>
      <c r="M96" s="26"/>
      <c r="N96" s="26"/>
      <c r="O96" s="45" t="s">
        <v>103</v>
      </c>
      <c r="P96" s="78">
        <f>'[1]US Treasury Bonds'!$C$8</f>
        <v>4.845E-2</v>
      </c>
    </row>
    <row r="97" spans="1:18" ht="20" x14ac:dyDescent="0.25">
      <c r="A97" s="5" t="s">
        <v>80</v>
      </c>
      <c r="B97" s="1" t="s">
        <v>92</v>
      </c>
      <c r="C97" s="1" t="s">
        <v>92</v>
      </c>
      <c r="D97" s="1" t="s">
        <v>92</v>
      </c>
      <c r="E97" s="1">
        <v>-5000000</v>
      </c>
      <c r="F97" s="1">
        <v>-2207883000</v>
      </c>
      <c r="G97" s="1" t="s">
        <v>92</v>
      </c>
      <c r="H97" s="1"/>
      <c r="I97" s="26"/>
      <c r="J97" s="26"/>
      <c r="K97" s="26"/>
      <c r="L97" s="26"/>
      <c r="M97" s="26"/>
      <c r="N97" s="26"/>
      <c r="O97" s="45" t="s">
        <v>129</v>
      </c>
      <c r="P97" s="61" cm="1">
        <f t="array" ref="P97">_FV(A1,"Beta")</f>
        <v>1.641</v>
      </c>
    </row>
    <row r="98" spans="1:18" ht="20" x14ac:dyDescent="0.25">
      <c r="A98" s="5" t="s">
        <v>81</v>
      </c>
      <c r="B98" s="1" t="s">
        <v>92</v>
      </c>
      <c r="C98" s="1" t="s">
        <v>92</v>
      </c>
      <c r="D98" s="1" t="s">
        <v>92</v>
      </c>
      <c r="E98" s="1">
        <v>3650870000</v>
      </c>
      <c r="F98" s="1" t="s">
        <v>92</v>
      </c>
      <c r="G98" s="1" t="s">
        <v>92</v>
      </c>
      <c r="H98" s="1"/>
      <c r="I98" s="26"/>
      <c r="J98" s="26"/>
      <c r="K98" s="26"/>
      <c r="L98" s="26"/>
      <c r="M98" s="26"/>
      <c r="N98" s="26"/>
      <c r="O98" s="45" t="s">
        <v>130</v>
      </c>
      <c r="P98" s="60">
        <v>8.4000000000000005E-2</v>
      </c>
    </row>
    <row r="99" spans="1:18" ht="19" customHeight="1" x14ac:dyDescent="0.25">
      <c r="A99" s="5" t="s">
        <v>82</v>
      </c>
      <c r="B99" s="1" t="s">
        <v>92</v>
      </c>
      <c r="C99" s="1" t="s">
        <v>92</v>
      </c>
      <c r="D99" s="1" t="s">
        <v>92</v>
      </c>
      <c r="E99" s="1" t="s">
        <v>92</v>
      </c>
      <c r="F99" s="1" t="s">
        <v>92</v>
      </c>
      <c r="G99" s="1">
        <v>-1500000000</v>
      </c>
      <c r="H99" s="1"/>
      <c r="I99" s="26"/>
      <c r="J99" s="26"/>
      <c r="K99" s="26"/>
      <c r="L99" s="26"/>
      <c r="M99" s="26"/>
      <c r="N99" s="26"/>
      <c r="O99" s="46" t="s">
        <v>131</v>
      </c>
      <c r="P99" s="58">
        <f>(P96)+((P97)*(P98-P96))</f>
        <v>0.10678755000000001</v>
      </c>
    </row>
    <row r="100" spans="1:18" ht="19" customHeight="1" x14ac:dyDescent="0.25">
      <c r="A100" s="5" t="s">
        <v>83</v>
      </c>
      <c r="B100" s="24">
        <v>0</v>
      </c>
      <c r="C100" s="24">
        <v>0</v>
      </c>
      <c r="D100" s="24">
        <v>0</v>
      </c>
      <c r="E100" s="24">
        <v>0</v>
      </c>
      <c r="F100" s="24">
        <v>0</v>
      </c>
      <c r="G100" s="24">
        <v>0</v>
      </c>
      <c r="H100" s="24"/>
      <c r="I100" s="26"/>
      <c r="J100" s="26"/>
      <c r="K100" s="26"/>
      <c r="L100" s="26"/>
      <c r="M100" s="26"/>
      <c r="N100" s="26"/>
      <c r="O100" s="84" t="s">
        <v>132</v>
      </c>
      <c r="P100" s="84"/>
    </row>
    <row r="101" spans="1:18" ht="20" x14ac:dyDescent="0.25">
      <c r="A101" s="5" t="s">
        <v>84</v>
      </c>
      <c r="B101" s="1">
        <v>672954000</v>
      </c>
      <c r="C101" s="1">
        <v>140516000</v>
      </c>
      <c r="D101" s="1">
        <v>854579000</v>
      </c>
      <c r="E101" s="1">
        <v>-705056000</v>
      </c>
      <c r="F101" s="1">
        <v>3639042000</v>
      </c>
      <c r="G101" s="1">
        <v>811000000</v>
      </c>
      <c r="H101" s="1"/>
      <c r="I101" s="26"/>
      <c r="J101" s="26"/>
      <c r="K101" s="26"/>
      <c r="L101" s="26"/>
      <c r="M101" s="26"/>
      <c r="N101" s="26"/>
      <c r="O101" s="45" t="s">
        <v>133</v>
      </c>
      <c r="P101" s="57">
        <f>P88+P89</f>
        <v>2341000000</v>
      </c>
    </row>
    <row r="102" spans="1:18" ht="20" x14ac:dyDescent="0.25">
      <c r="A102" s="6" t="s">
        <v>85</v>
      </c>
      <c r="B102" s="10">
        <v>672954000</v>
      </c>
      <c r="C102" s="10">
        <v>140516000</v>
      </c>
      <c r="D102" s="10">
        <v>854579000</v>
      </c>
      <c r="E102" s="10">
        <v>2940814000</v>
      </c>
      <c r="F102" s="10">
        <v>1431159000</v>
      </c>
      <c r="G102" s="10">
        <v>-689000000</v>
      </c>
      <c r="H102" s="10"/>
      <c r="I102" s="26"/>
      <c r="J102" s="26"/>
      <c r="K102" s="26"/>
      <c r="L102" s="26"/>
      <c r="M102" s="26"/>
      <c r="N102" s="26"/>
      <c r="O102" s="46" t="s">
        <v>134</v>
      </c>
      <c r="P102" s="58">
        <f>P101/P105</f>
        <v>3.0725982381582577E-2</v>
      </c>
    </row>
    <row r="103" spans="1:18" ht="20" x14ac:dyDescent="0.25">
      <c r="A103" s="5" t="s">
        <v>86</v>
      </c>
      <c r="B103" s="1">
        <v>227172000</v>
      </c>
      <c r="C103" s="1">
        <v>-158919000</v>
      </c>
      <c r="D103" s="1">
        <v>-25284000</v>
      </c>
      <c r="E103" s="1">
        <v>134137000</v>
      </c>
      <c r="F103" s="1">
        <v>-209861000</v>
      </c>
      <c r="G103" s="1">
        <v>-337000000</v>
      </c>
      <c r="H103" s="1"/>
      <c r="I103" s="26"/>
      <c r="J103" s="26"/>
      <c r="K103" s="26"/>
      <c r="L103" s="26"/>
      <c r="M103" s="26"/>
      <c r="N103" s="26"/>
      <c r="O103" s="45" t="s">
        <v>135</v>
      </c>
      <c r="P103" s="62" cm="1">
        <f t="array" ref="P103">_FV(A1,"Market cap",TRUE)</f>
        <v>73848590000</v>
      </c>
    </row>
    <row r="104" spans="1:18" ht="20" x14ac:dyDescent="0.25">
      <c r="A104" s="6" t="s">
        <v>87</v>
      </c>
      <c r="B104" s="10">
        <v>362407000</v>
      </c>
      <c r="C104" s="10">
        <v>-91017000</v>
      </c>
      <c r="D104" s="10">
        <v>704867000</v>
      </c>
      <c r="E104" s="10">
        <v>2524809000</v>
      </c>
      <c r="F104" s="10">
        <v>2059037000</v>
      </c>
      <c r="G104" s="10">
        <v>2376000000</v>
      </c>
      <c r="H104" s="10"/>
      <c r="I104" s="26"/>
      <c r="J104" s="26"/>
      <c r="K104" s="26"/>
      <c r="L104" s="26"/>
      <c r="M104" s="26"/>
      <c r="N104" s="26"/>
      <c r="O104" s="46" t="s">
        <v>136</v>
      </c>
      <c r="P104" s="58">
        <f>P103/P105</f>
        <v>0.96927401761841747</v>
      </c>
    </row>
    <row r="105" spans="1:18" ht="19" customHeight="1" x14ac:dyDescent="0.25">
      <c r="A105" s="5" t="s">
        <v>88</v>
      </c>
      <c r="B105" s="1">
        <v>4167186000</v>
      </c>
      <c r="C105" s="1">
        <v>4529593000</v>
      </c>
      <c r="D105" s="1">
        <v>4438576000</v>
      </c>
      <c r="E105" s="1">
        <v>5143443000</v>
      </c>
      <c r="F105" s="1">
        <v>7668252000</v>
      </c>
      <c r="G105" s="1">
        <v>9727000000</v>
      </c>
      <c r="H105" s="1"/>
      <c r="I105" s="26"/>
      <c r="J105" s="26"/>
      <c r="K105" s="26"/>
      <c r="L105" s="26"/>
      <c r="M105" s="26"/>
      <c r="N105" s="26"/>
      <c r="O105" s="46" t="s">
        <v>137</v>
      </c>
      <c r="P105" s="63">
        <f>P101+P103</f>
        <v>76189590000</v>
      </c>
    </row>
    <row r="106" spans="1:18" ht="21" customHeight="1" thickBot="1" x14ac:dyDescent="0.3">
      <c r="A106" s="7" t="s">
        <v>89</v>
      </c>
      <c r="B106" s="11">
        <v>4529593000</v>
      </c>
      <c r="C106" s="11">
        <v>4438576000</v>
      </c>
      <c r="D106" s="11">
        <v>5143443000</v>
      </c>
      <c r="E106" s="11">
        <v>7668252000</v>
      </c>
      <c r="F106" s="11">
        <v>9727289000</v>
      </c>
      <c r="G106" s="11">
        <v>12103000000</v>
      </c>
      <c r="H106" s="11"/>
      <c r="I106" s="86" t="s">
        <v>113</v>
      </c>
      <c r="J106" s="86"/>
      <c r="K106" s="86"/>
      <c r="L106" s="86"/>
      <c r="M106" s="86"/>
      <c r="N106" s="26"/>
      <c r="O106" s="84" t="s">
        <v>138</v>
      </c>
      <c r="P106" s="84"/>
    </row>
    <row r="107" spans="1:18" ht="21" thickTop="1" x14ac:dyDescent="0.25">
      <c r="A107" s="17" t="s">
        <v>163</v>
      </c>
      <c r="B107" s="1">
        <f t="shared" ref="B107:G107" si="26">(B24*(1-$P$93))+B79+B90+B83</f>
        <v>84904974.358974367</v>
      </c>
      <c r="C107" s="1">
        <f t="shared" si="26"/>
        <v>430645312.21719456</v>
      </c>
      <c r="D107" s="1">
        <f t="shared" si="26"/>
        <v>131756203.61990952</v>
      </c>
      <c r="E107" s="1">
        <f t="shared" si="26"/>
        <v>-3612971903.46908</v>
      </c>
      <c r="F107" s="1">
        <f t="shared" si="26"/>
        <v>1159515817.4962292</v>
      </c>
      <c r="G107" s="1">
        <f t="shared" si="26"/>
        <v>2174730015.0829563</v>
      </c>
      <c r="H107" s="15">
        <v>3659000000</v>
      </c>
      <c r="I107" s="79">
        <f>I109/I5</f>
        <v>0.36070433923277334</v>
      </c>
      <c r="J107" s="79">
        <f>J109/J5</f>
        <v>0.3746443250079039</v>
      </c>
      <c r="K107" s="79">
        <f>K109/K5</f>
        <v>0.38374607603767003</v>
      </c>
      <c r="L107" s="79">
        <f>L109/L5</f>
        <v>0.39607504319921005</v>
      </c>
      <c r="M107" s="79">
        <f>M109/M5</f>
        <v>0.40336494668595618</v>
      </c>
      <c r="N107" s="80" t="s">
        <v>166</v>
      </c>
      <c r="O107" s="47" t="s">
        <v>120</v>
      </c>
      <c r="P107" s="65">
        <f>(P102*P94)+(P104*P99)</f>
        <v>0.10380619748726534</v>
      </c>
      <c r="Q107" s="18"/>
      <c r="R107" s="18"/>
    </row>
    <row r="108" spans="1:18" ht="19" x14ac:dyDescent="0.25">
      <c r="A108" s="17" t="s">
        <v>161</v>
      </c>
      <c r="B108" s="1"/>
      <c r="C108" s="18">
        <f t="shared" ref="C108:H108" si="27">(C109/B109)-1</f>
        <v>2.3434621675131275</v>
      </c>
      <c r="D108" s="18">
        <f t="shared" si="27"/>
        <v>-0.80735067820879203</v>
      </c>
      <c r="E108" s="18">
        <f t="shared" si="27"/>
        <v>-7.8579079928039066</v>
      </c>
      <c r="F108" s="18">
        <f t="shared" si="27"/>
        <v>-4.2444345176082248</v>
      </c>
      <c r="G108" s="18">
        <f t="shared" si="27"/>
        <v>0.57320460623220049</v>
      </c>
      <c r="H108" s="18">
        <f t="shared" si="27"/>
        <v>7.4596182085168827E-2</v>
      </c>
      <c r="I108" s="55">
        <f>(I109/H109)-1</f>
        <v>9.7294342716589322E-2</v>
      </c>
      <c r="J108" s="55">
        <f>(J109/I109)-1</f>
        <v>0.18057285180572857</v>
      </c>
      <c r="K108" s="55">
        <f>(K109/J109)-1</f>
        <v>0.16054852320675095</v>
      </c>
      <c r="L108" s="55">
        <f>(L109/K109)-1</f>
        <v>0.16669696418832936</v>
      </c>
      <c r="M108" s="55">
        <f>(M109/L109)-1</f>
        <v>0.17295107510127772</v>
      </c>
      <c r="N108" s="56">
        <f>SUM(I108:M108)/5</f>
        <v>0.15561275140373518</v>
      </c>
      <c r="O108" s="87" t="s">
        <v>142</v>
      </c>
      <c r="P108" s="87"/>
    </row>
    <row r="109" spans="1:18" ht="19" x14ac:dyDescent="0.25">
      <c r="A109" s="43" t="s">
        <v>162</v>
      </c>
      <c r="B109" s="1">
        <v>151021000</v>
      </c>
      <c r="C109" s="1">
        <v>504933000</v>
      </c>
      <c r="D109" s="1">
        <v>97275000</v>
      </c>
      <c r="E109" s="1">
        <v>-667103000</v>
      </c>
      <c r="F109" s="1">
        <v>2164372000</v>
      </c>
      <c r="G109" s="1">
        <v>3405000000</v>
      </c>
      <c r="H109" s="1">
        <v>3659000000</v>
      </c>
      <c r="I109" s="66">
        <v>4015000000</v>
      </c>
      <c r="J109" s="66">
        <v>4740000000</v>
      </c>
      <c r="K109" s="66">
        <v>5501000000</v>
      </c>
      <c r="L109" s="66">
        <v>6418000000</v>
      </c>
      <c r="M109" s="66">
        <v>7528000000</v>
      </c>
      <c r="N109" s="64" t="s">
        <v>164</v>
      </c>
      <c r="O109" s="67" t="s">
        <v>139</v>
      </c>
      <c r="P109" s="48">
        <f>(SUM(I6:M6)/5)</f>
        <v>0.13648507527308604</v>
      </c>
    </row>
    <row r="110" spans="1:18" ht="19" x14ac:dyDescent="0.2">
      <c r="I110" s="81"/>
      <c r="J110" s="81"/>
      <c r="K110" s="81"/>
      <c r="L110" s="81"/>
      <c r="M110" s="68">
        <f>M109*(1+P110)/(P111-P110)</f>
        <v>97913619055.74617</v>
      </c>
      <c r="N110" s="69" t="s">
        <v>141</v>
      </c>
      <c r="O110" s="70" t="s">
        <v>140</v>
      </c>
      <c r="P110" s="49">
        <v>2.5000000000000001E-2</v>
      </c>
    </row>
    <row r="111" spans="1:18" ht="19" x14ac:dyDescent="0.2">
      <c r="I111" s="68">
        <f t="shared" ref="I111:K111" si="28">I110+I109</f>
        <v>4015000000</v>
      </c>
      <c r="J111" s="68">
        <f t="shared" si="28"/>
        <v>4740000000</v>
      </c>
      <c r="K111" s="68">
        <f t="shared" si="28"/>
        <v>5501000000</v>
      </c>
      <c r="L111" s="68">
        <f>L110+L109</f>
        <v>6418000000</v>
      </c>
      <c r="M111" s="68">
        <f>M110+M109</f>
        <v>105441619055.74617</v>
      </c>
      <c r="N111" s="69" t="s">
        <v>137</v>
      </c>
      <c r="O111" s="71" t="s">
        <v>150</v>
      </c>
      <c r="P111" s="48">
        <f>P107</f>
        <v>0.10380619748726534</v>
      </c>
    </row>
    <row r="112" spans="1:18" ht="20" customHeight="1" x14ac:dyDescent="0.2">
      <c r="I112" s="85" t="s">
        <v>151</v>
      </c>
      <c r="J112" s="85"/>
      <c r="K112" s="26"/>
      <c r="L112" s="26"/>
      <c r="M112" s="26"/>
      <c r="N112" s="26"/>
      <c r="O112" s="26"/>
      <c r="P112" s="26"/>
    </row>
    <row r="113" spans="9:16" ht="20" customHeight="1" x14ac:dyDescent="0.2">
      <c r="I113" s="72" t="s">
        <v>143</v>
      </c>
      <c r="J113" s="62">
        <f>NPV(P111,I111,J111,K111,L111,M111)</f>
        <v>80291512068.09053</v>
      </c>
      <c r="K113" s="26"/>
      <c r="L113" s="26"/>
      <c r="M113" s="26"/>
      <c r="N113" s="26"/>
      <c r="O113" s="26"/>
      <c r="P113" s="26"/>
    </row>
    <row r="114" spans="9:16" ht="20" x14ac:dyDescent="0.2">
      <c r="I114" s="72" t="s">
        <v>149</v>
      </c>
      <c r="J114" s="62">
        <f>G42</f>
        <v>9622000000</v>
      </c>
      <c r="K114" s="26"/>
      <c r="L114" s="26"/>
      <c r="M114" s="26"/>
      <c r="N114" s="26"/>
      <c r="O114" s="26"/>
      <c r="P114" s="26"/>
    </row>
    <row r="115" spans="9:16" ht="20" x14ac:dyDescent="0.2">
      <c r="I115" s="72" t="s">
        <v>133</v>
      </c>
      <c r="J115" s="62">
        <f>P101</f>
        <v>2341000000</v>
      </c>
      <c r="K115" s="26"/>
      <c r="L115" s="26"/>
      <c r="M115" s="26"/>
      <c r="N115" s="26"/>
      <c r="O115" s="26"/>
      <c r="P115" s="26"/>
    </row>
    <row r="116" spans="9:16" ht="20" x14ac:dyDescent="0.2">
      <c r="I116" s="72" t="s">
        <v>144</v>
      </c>
      <c r="J116" s="62">
        <f>J113+J114-J115</f>
        <v>87572512068.09053</v>
      </c>
      <c r="K116" s="26"/>
      <c r="L116" s="26"/>
      <c r="M116" s="26"/>
      <c r="N116" s="26"/>
      <c r="O116" s="26"/>
      <c r="P116" s="26"/>
    </row>
    <row r="117" spans="9:16" ht="20" x14ac:dyDescent="0.2">
      <c r="I117" s="72" t="s">
        <v>170</v>
      </c>
      <c r="J117" s="72">
        <f>G36*(1+(5*0.05))</f>
        <v>769863750</v>
      </c>
      <c r="K117" s="26"/>
      <c r="L117" s="26"/>
      <c r="M117" s="26"/>
      <c r="N117" s="26"/>
      <c r="O117" s="26"/>
      <c r="P117" s="26"/>
    </row>
    <row r="118" spans="9:16" ht="20" x14ac:dyDescent="0.2">
      <c r="I118" s="73" t="s">
        <v>145</v>
      </c>
      <c r="J118" s="74">
        <f>J116/J117</f>
        <v>113.75066311160973</v>
      </c>
      <c r="K118" s="26"/>
      <c r="L118" s="26"/>
      <c r="M118" s="26"/>
      <c r="N118" s="26"/>
      <c r="O118" s="26"/>
      <c r="P118" s="26"/>
    </row>
    <row r="119" spans="9:16" ht="20" customHeight="1" x14ac:dyDescent="0.2">
      <c r="I119" s="72" t="s">
        <v>146</v>
      </c>
      <c r="J119" s="75" cm="1">
        <f t="array" ref="J119">_FV(A1,"Price")</f>
        <v>114.09</v>
      </c>
      <c r="K119" s="26"/>
      <c r="L119" s="26"/>
      <c r="M119" s="26"/>
      <c r="N119" s="26"/>
      <c r="O119" s="26"/>
      <c r="P119" s="26"/>
    </row>
    <row r="120" spans="9:16" ht="21" customHeight="1" x14ac:dyDescent="0.2">
      <c r="I120" s="73" t="s">
        <v>147</v>
      </c>
      <c r="J120" s="76">
        <f>J118/J119-1</f>
        <v>-2.9742912471757421E-3</v>
      </c>
      <c r="K120" s="26"/>
      <c r="L120" s="26"/>
      <c r="M120" s="26"/>
      <c r="N120" s="26"/>
      <c r="O120" s="26"/>
      <c r="P120" s="26"/>
    </row>
    <row r="121" spans="9:16" ht="20" x14ac:dyDescent="0.2">
      <c r="I121" s="73" t="s">
        <v>148</v>
      </c>
      <c r="J121" s="77" t="str">
        <f>IF(J118&gt;J119,"BUY","SELL")</f>
        <v>SELL</v>
      </c>
      <c r="K121" s="26"/>
      <c r="L121" s="26"/>
      <c r="M121" s="26"/>
      <c r="N121" s="26"/>
      <c r="O121" s="26"/>
      <c r="P121" s="26"/>
    </row>
  </sheetData>
  <mergeCells count="8">
    <mergeCell ref="O85:P85"/>
    <mergeCell ref="O95:P95"/>
    <mergeCell ref="O86:P86"/>
    <mergeCell ref="I112:J112"/>
    <mergeCell ref="I106:M106"/>
    <mergeCell ref="O108:P108"/>
    <mergeCell ref="O106:P106"/>
    <mergeCell ref="O100:P100"/>
  </mergeCells>
  <hyperlinks>
    <hyperlink ref="A1" r:id="rId1" tooltip="https://roic.ai/company/ABNB" display="ROIC.AI | ABNB" xr:uid="{00000000-0004-0000-0000-000000000000}"/>
    <hyperlink ref="B38" r:id="rId2" tooltip="https://sec.gov" xr:uid="{00000000-0004-0000-0000-000001000000}"/>
    <hyperlink ref="B76" r:id="rId3" tooltip="https://sec.gov" xr:uid="{00000000-0004-0000-0000-000002000000}"/>
    <hyperlink ref="C38" r:id="rId4" tooltip="https://sec.gov" xr:uid="{00000000-0004-0000-0000-000004000000}"/>
    <hyperlink ref="C76" r:id="rId5" tooltip="https://sec.gov" xr:uid="{00000000-0004-0000-0000-000005000000}"/>
    <hyperlink ref="D38" r:id="rId6" tooltip="https://sec.gov" xr:uid="{00000000-0004-0000-0000-000007000000}"/>
    <hyperlink ref="D76" r:id="rId7" tooltip="https://sec.gov" xr:uid="{00000000-0004-0000-0000-000008000000}"/>
    <hyperlink ref="E38" r:id="rId8" tooltip="https://www.sec.gov/Archives/edgar/data/1559720/000155972021000010/0001559720-21-000010-index.htm" xr:uid="{00000000-0004-0000-0000-00000A000000}"/>
    <hyperlink ref="E76" r:id="rId9" tooltip="https://www.sec.gov/Archives/edgar/data/1559720/000155972021000010/0001559720-21-000010-index.htm" xr:uid="{00000000-0004-0000-0000-00000B000000}"/>
    <hyperlink ref="F38" r:id="rId10" tooltip="https://www.sec.gov/Archives/edgar/data/1559720/000155972022000006/0001559720-22-000006-index.htm" xr:uid="{00000000-0004-0000-0000-00000D000000}"/>
    <hyperlink ref="F76" r:id="rId11" tooltip="https://www.sec.gov/Archives/edgar/data/1559720/000155972022000006/0001559720-22-000006-index.htm" xr:uid="{00000000-0004-0000-0000-00000E000000}"/>
    <hyperlink ref="G38" r:id="rId12" tooltip="https://www.sec.gov/Archives/edgar/data/1559720/000155972023000003/0001559720-23-000003-index.htm" xr:uid="{00000000-0004-0000-0000-000010000000}"/>
    <hyperlink ref="G76" r:id="rId13" tooltip="https://www.sec.gov/Archives/edgar/data/1559720/000155972023000003/0001559720-23-000003-index.htm" xr:uid="{00000000-0004-0000-0000-000011000000}"/>
    <hyperlink ref="I1" r:id="rId14" display="https://finbox.com/NASDAQGS:ABNB/explorer/revenue_proj" xr:uid="{A9B4D051-77A7-D148-BC59-D386FC73E725}"/>
    <hyperlink ref="A3" r:id="rId15" xr:uid="{1CB1F9AA-A62F-8349-B76A-1702B2216B3A}"/>
    <hyperlink ref="H1" r:id="rId16" display="https://finbox.com/NASDAQGS:ABNB/models/dcf-ebitda-exit-5yr/" xr:uid="{0312FE5B-5EDF-6A43-A08F-28BF98DB7F16}"/>
    <hyperlink ref="N109" r:id="rId17" xr:uid="{B4B9DE89-C2B1-3A4E-A1A4-E1E7BF8A8724}"/>
  </hyperlinks>
  <pageMargins left="0.7" right="0.7" top="0.75" bottom="0.75" header="0.3" footer="0.3"/>
  <drawing r:id="rId18"/>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Avi Desai</cp:lastModifiedBy>
  <dcterms:created xsi:type="dcterms:W3CDTF">2023-02-23T07:13:09Z</dcterms:created>
  <dcterms:modified xsi:type="dcterms:W3CDTF">2023-10-30T06:59:22Z</dcterms:modified>
</cp:coreProperties>
</file>