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C9D83CA-9DA8-B349-89C5-F4B087481EC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G115" i="1"/>
  <c r="N7" i="1"/>
  <c r="M7" i="1"/>
  <c r="L7" i="1"/>
  <c r="K7" i="1"/>
  <c r="F6" i="1"/>
  <c r="F34" i="1" a="1"/>
  <c r="F34" i="1" s="1"/>
  <c r="F35" i="1" s="1"/>
  <c r="K16" i="1" s="1"/>
  <c r="F33" i="1" a="1"/>
  <c r="F33" i="1" s="1"/>
  <c r="L22" i="1"/>
  <c r="J106" i="1"/>
  <c r="I106" i="1"/>
  <c r="H106" i="1"/>
  <c r="G106" i="1"/>
  <c r="F106" i="1"/>
  <c r="F109" i="1"/>
  <c r="G109" i="1"/>
  <c r="H109" i="1"/>
  <c r="I109" i="1"/>
  <c r="B105" i="1"/>
  <c r="C105" i="1"/>
  <c r="D105" i="1"/>
  <c r="E105" i="1"/>
  <c r="G30" i="1"/>
  <c r="H30" i="1"/>
  <c r="I30" i="1"/>
  <c r="J30" i="1"/>
  <c r="F30" i="1"/>
  <c r="F29" i="1"/>
  <c r="G29" i="1"/>
  <c r="H29" i="1"/>
  <c r="I29" i="1"/>
  <c r="J29" i="1"/>
  <c r="G21" i="1"/>
  <c r="H21" i="1"/>
  <c r="I21" i="1"/>
  <c r="J21" i="1"/>
  <c r="F21" i="1"/>
  <c r="F20" i="1"/>
  <c r="G20" i="1"/>
  <c r="H20" i="1"/>
  <c r="I20" i="1"/>
  <c r="J20" i="1"/>
  <c r="G117" i="1" a="1"/>
  <c r="G117" i="1" s="1"/>
  <c r="M102" i="1" a="1"/>
  <c r="M102" i="1" s="1"/>
  <c r="N22" i="1" s="1"/>
  <c r="M96" i="1" a="1"/>
  <c r="M96" i="1" s="1"/>
  <c r="G112" i="1"/>
  <c r="M91" i="1"/>
  <c r="M92" i="1"/>
  <c r="M90" i="1"/>
  <c r="M88" i="1"/>
  <c r="M87" i="1"/>
  <c r="M86" i="1"/>
  <c r="K19"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9" i="1"/>
  <c r="M93" i="1"/>
  <c r="M100" i="1"/>
  <c r="G113" i="1" s="1"/>
  <c r="N19" i="1" l="1"/>
  <c r="K106" i="1"/>
  <c r="M22" i="1"/>
  <c r="L19" i="1"/>
  <c r="M107" i="1"/>
  <c r="L16" i="1"/>
  <c r="M104" i="1"/>
  <c r="M101" i="1" s="1"/>
  <c r="M16" i="1"/>
  <c r="N16" i="1"/>
  <c r="M103" i="1" l="1"/>
  <c r="M95" i="1" l="1"/>
  <c r="M98" i="1" s="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<sst xmlns="http://schemas.openxmlformats.org/spreadsheetml/2006/main" count="271" uniqueCount="170">
  <si>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</si>
  <si>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</si>
  <si>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</si>
  <si>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</si>
  <si>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</si>
  <si>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</si>
  <si>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</si>
  <si>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</si>
  <si>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</si>
  <si>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</si>
  <si>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</si>
  <si>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</si>
  <si>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</si>
  <si>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</si>
  <si>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</si>
  <si>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</si>
  <si>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</si>
  <si>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</si>
  <si>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</si>
  <si>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</si>
  <si>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</si>
  <si>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</si>
  <si>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</si>
  <si>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</si>
  <si>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</si>
  <si>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</si>
  <si>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</si>
  <si>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</si>
  <si>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</si>
  <si>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</si>
  <si>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</si>
  <si>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</si>
  <si>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</si>
  <si>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</si>
  <si>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</si>
  <si>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</si>
  <si>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</si>
  <si>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</si>
  <si>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</si>
  <si>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</si>
  <si>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</si>
  <si>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</si>
  <si>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</si>
  <si>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</si>
  <si>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</si>
  <si>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</si>
  <si>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</si>
  <si>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</si>
  <si>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</si>
  <si>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</si>
  <si>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</si>
  <si>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</si>
  <si>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</si>
  <si>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</si>
  <si>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</si>
  <si>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</si>
  <si>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</si>
  <si>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</si>
  <si>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</si>
  <si>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</si>
  <si>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</si>
  <si>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</si>
  <si>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</si>
  <si>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</si>
  <si>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</si>
  <si>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</si>
  <si>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</si>
  <si>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</si>
  <si>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</si>
  <si>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</si>
  <si>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</si>
  <si>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</si>
  <si>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</si>
  <si>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</si>
  <si>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</si>
  <si>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</si>
  <si>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</si>
  <si>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</si>
  <si>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</si>
  <si>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</si>
  <si>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</si>
  <si>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</si>
  <si>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</si>
  <si>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</si>
  <si>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</si>
  <si>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</si>
  <si>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</si>
  <si>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</si>
  <si>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</si>
  <si>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</si>
  <si>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</si>
  <si>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</si>
  <si>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</si>
  <si>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</si>
  <si>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</si>
  <si>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</si>
  <si>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</si>
  <si>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</si>
  <si>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</si>
  <si>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</si>
  <si>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</si>
  <si>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</si>
  <si>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</si>
  <si>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</si>
  <si>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</si>
  <si>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</si>
  <si>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</si>
  <si>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</si>
  <si>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</si>
  <si>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</si>
  <si>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</si>
  <si>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</si>
  <si>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</si>
  <si>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</si>
  <si>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</si>
  <si>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</si>
  <si>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</si>
  <si>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</si>
  <si>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</si>
  <si>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</si>
  <si>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</si>
  <si>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</si>
  <si>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</si>
  <si>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</si>
  <si>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</si>
  <si>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</si>
  <si>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</si>
  <si>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</si>
  <si>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</si>
  <si>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</si>
  <si>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</si>
  <si>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</si>
  <si>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</si>
  <si>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</si>
  <si>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</si>
  <si>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</si>
  <si>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</si>
  <si>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</si>
  <si>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</si>
  <si>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</si>
  <si>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</si>
  <si>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</si>
  <si>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</si>
  <si>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</si>
  <si>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</si>
  <si>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</si>
  <si>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</si>
  <si>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</si>
  <si>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</si>
  <si>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</si>
  <si>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</si>
  <si>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</si>
  <si>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</si>
  <si>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</si>
  <si>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</si>
  <si>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</si>
  <si>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</si>
  <si>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</si>
  <si>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</si>
  <si>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</si>
  <si>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</si>
  <si>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</si>
  <si>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</si>
  <si>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Forecast</t>
  </si>
  <si>
    <t>Dividend Yield</t>
  </si>
  <si>
    <t>5Y Fwd FCF CAGR</t>
  </si>
  <si>
    <t>-</t>
  </si>
  <si>
    <t>Forward FCF Yield</t>
  </si>
  <si>
    <t>3Y Fwd Income CAGR</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</si>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</sst>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0" fontId="0" fillId="4" borderId="0" xfId="0" applyFill="1" applyAlignment="1">
      <alignment vertical="center"/>
    </xf>
    <xf numFmtId="164" fontId="12" fillId="4" borderId="0" xfId="0" applyNumberFormat="1" applyFont="1" applyFill="1" applyAlignment="1">
      <alignment vertical="center"/>
    </xf>
    <xf numFmtId="9" fontId="1" fillId="7"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7" borderId="0" xfId="0" applyNumberFormat="1" applyFont="1" applyFill="1" applyAlignment="1">
      <alignment horizontal="center"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0" borderId="10" xfId="0" applyNumberFormat="1" applyFont="1" applyBorder="1"/>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3540925523775349"/>
          <c:w val="0.848532445923461"/>
          <c:h val="0.6728985111721096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149805000</c:v>
                </c:pt>
                <c:pt idx="1">
                  <c:v>236577000</c:v>
                </c:pt>
                <c:pt idx="2">
                  <c:v>387864000</c:v>
                </c:pt>
                <c:pt idx="3">
                  <c:v>585944000</c:v>
                </c:pt>
                <c:pt idx="4">
                  <c:v>770000000</c:v>
                </c:pt>
                <c:pt idx="5">
                  <c:v>987000000</c:v>
                </c:pt>
                <c:pt idx="6">
                  <c:v>1256000000</c:v>
                </c:pt>
                <c:pt idx="7">
                  <c:v>1481000000</c:v>
                </c:pt>
                <c:pt idx="8">
                  <c:v>1795000000</c:v>
                </c:pt>
              </c:numCache>
            </c:numRef>
          </c:val>
          <c:extLst>
            <c:ext xmlns:c16="http://schemas.microsoft.com/office/drawing/2014/chart" uri="{C3380CC4-5D6E-409C-BE32-E72D297353CC}">
              <c16:uniqueId val="{00000000-13C1-6843-B65E-1F80E73D7C5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-95042000</c:v>
                </c:pt>
                <c:pt idx="1">
                  <c:v>-229828000</c:v>
                </c:pt>
                <c:pt idx="2">
                  <c:v>-342801000</c:v>
                </c:pt>
                <c:pt idx="3">
                  <c:v>-452551000</c:v>
                </c:pt>
                <c:pt idx="4">
                  <c:v>-10000000</c:v>
                </c:pt>
                <c:pt idx="5">
                  <c:v>70000000</c:v>
                </c:pt>
                <c:pt idx="6">
                  <c:v>141300000</c:v>
                </c:pt>
                <c:pt idx="7">
                  <c:v>136000000</c:v>
                </c:pt>
                <c:pt idx="8">
                  <c:v>252000000</c:v>
                </c:pt>
              </c:numCache>
            </c:numRef>
          </c:val>
          <c:extLst>
            <c:ext xmlns:c16="http://schemas.microsoft.com/office/drawing/2014/chart" uri="{C3380CC4-5D6E-409C-BE32-E72D297353CC}">
              <c16:uniqueId val="{00000001-13C1-6843-B65E-1F80E73D7C5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-71763000</c:v>
                </c:pt>
                <c:pt idx="1">
                  <c:v>-86707000</c:v>
                </c:pt>
                <c:pt idx="2">
                  <c:v>-114002000</c:v>
                </c:pt>
                <c:pt idx="3">
                  <c:v>-171788000</c:v>
                </c:pt>
                <c:pt idx="4">
                  <c:v>-46000000</c:v>
                </c:pt>
                <c:pt idx="5">
                  <c:v>48000000</c:v>
                </c:pt>
                <c:pt idx="6">
                  <c:v>124000000</c:v>
                </c:pt>
                <c:pt idx="7">
                  <c:v>225000000</c:v>
                </c:pt>
                <c:pt idx="8">
                  <c:v>250000000</c:v>
                </c:pt>
              </c:numCache>
            </c:numRef>
          </c:val>
          <c:extLst>
            <c:ext xmlns:c16="http://schemas.microsoft.com/office/drawing/2014/chart" uri="{C3380CC4-5D6E-409C-BE32-E72D297353CC}">
              <c16:uniqueId val="{00000002-13C1-6843-B65E-1F80E73D7C51}"/>
            </c:ext>
          </c:extLst>
        </c:ser>
        <c:dLbls>
          <c:showLegendKey val="0"/>
          <c:showVal val="0"/>
          <c:showCatName val="0"/>
          <c:showSerName val="0"/>
          <c:showPercent val="0"/>
          <c:showBubbleSize val="0"/>
        </c:dLbls>
        <c:gapWidth val="150"/>
        <c:overlap val="100"/>
        <c:axId val="1663356992"/>
        <c:axId val="1663359264"/>
      </c:barChart>
      <c:catAx>
        <c:axId val="166335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3359264"/>
        <c:crosses val="autoZero"/>
        <c:auto val="1"/>
        <c:lblAlgn val="ctr"/>
        <c:lblOffset val="100"/>
        <c:noMultiLvlLbl val="0"/>
      </c:catAx>
      <c:valAx>
        <c:axId val="1663359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3356992"/>
        <c:crosses val="autoZero"/>
        <c:crossBetween val="between"/>
      </c:valAx>
      <c:spPr>
        <a:noFill/>
        <a:ln>
          <a:noFill/>
        </a:ln>
        <a:effectLst/>
      </c:spPr>
    </c:plotArea>
    <c:legend>
      <c:legendPos val="b"/>
      <c:layout>
        <c:manualLayout>
          <c:xMode val="edge"/>
          <c:yMode val="edge"/>
          <c:x val="0.3420655862276783"/>
          <c:y val="0.87341285144924308"/>
          <c:w val="0.31586872273245381"/>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109</xdr:row>
      <xdr:rowOff>17462</xdr:rowOff>
    </xdr:from>
    <xdr:to>
      <xdr:col>12</xdr:col>
      <xdr:colOff>1555749</xdr:colOff>
      <xdr:row>127</xdr:row>
      <xdr:rowOff>206374</xdr:rowOff>
    </xdr:to>
    <xdr:graphicFrame macro="">
      <xdr:nvGraphicFramePr>
        <xdr:cNvPr id="3" name="Chart 2">
          <a:extLst>
            <a:ext uri="{FF2B5EF4-FFF2-40B4-BE49-F238E27FC236}">
              <a16:creationId xmlns:a16="http://schemas.microsoft.com/office/drawing/2014/main" id="{179763ED-B409-BB94-0EBE-E3AB2ED3B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16.600000000000001</v>
    <v>2.4849999999999999</v>
    <v>0.24</v>
    <v>8.8950000000000001E-3</v>
    <v>0.31</v>
    <v>1.1389E-2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27.939900000000002</v>
    <v>Software &amp; IT Services</v>
    <v>Stock</v>
    <v>45226.999186678127</v>
    <v>0</v>
    <v>26.71</v>
    <v>8231916000</v>
    <v>CONFLUENT, INC.</v>
    <v>CONFLUENT, INC.</v>
    <v>27.82</v>
    <v>26.98</v>
    <v>27.22</v>
    <v>27.53</v>
    <v>302421600</v>
    <v>CFLT</v>
    <v>CONFLUENT, INC. (XNAS:CFLT)</v>
    <v>3342374</v>
    <v>3308986</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6" activePane="bottomRight" state="frozen"/>
      <selection pane="topRight"/>
      <selection pane="bottomLeft"/>
      <selection pane="bottomRight" activeCell="E123" sqref="E12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770000000</v>
      </c>
      <c r="G3" s="24">
        <v>987000000</v>
      </c>
      <c r="H3" s="24">
        <v>1256000000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0.31411875537594036</v>
      </c>
      <c r="G4" s="16">
        <f t="shared" si="0"/>
        <v>0.28181818181818175</v>
      </c>
      <c r="H4" s="16">
        <f t="shared" si="0"/>
        <v>0.27254305977710236</v>
      </c>
      <c r="I4" s="16">
        <f t="shared" si="0"/>
        <v>0.17914012738853513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F6" s="27">
        <f>F3*F7</f>
        <v>534379999.99999994</v>
      </c>
      <c r="K6" s="67" t="s">
        <v>111</v>
      </c>
      <c r="L6" s="68" t="s">
        <v>112</v>
      </c>
      <c r="M6" s="68" t="s">
        <v>113</v>
      </c>
      <c r="N6" s="68" t="s">
        <v>114</v>
      </c>
    </row>
    <row r="7" spans="1:38" ht="19" x14ac:dyDescent="0.25">
      <c r="A7" s="5" t="s">
        <v>4</v>
      </c>
      <c r="B7" s="2">
        <v>0.6704</v>
      </c>
      <c r="C7" s="2">
        <v>0.68100000000000005</v>
      </c>
      <c r="D7" s="2">
        <v>0.64600000000000002</v>
      </c>
      <c r="E7" s="2">
        <v>0.65449999999999997</v>
      </c>
      <c r="F7" s="2">
        <v>0.69399999999999995</v>
      </c>
      <c r="K7" s="17">
        <f>F7</f>
        <v>0.69399999999999995</v>
      </c>
      <c r="L7" s="21">
        <f>F21</f>
        <v>-8.1818181818181818E-2</v>
      </c>
      <c r="M7" s="21">
        <f>F30</f>
        <v>-1.2987012987012988E-2</v>
      </c>
      <c r="N7" s="21">
        <f>F107/F3</f>
        <v>-5.9740259740259739E-2</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1">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AVERAGE(C35:F35)</f>
        <v>9.9888535932196182E-2</v>
      </c>
      <c r="L16" s="29">
        <f>M102/E3</f>
        <v>14.048980789973104</v>
      </c>
      <c r="M16" s="29">
        <f>M102/E28</f>
        <v>-18.190029411049803</v>
      </c>
      <c r="N16" s="30">
        <f>M102/E107</f>
        <v>-47.919039746664495</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27">
        <v>-63000000</v>
      </c>
      <c r="G19" s="27">
        <v>28000000</v>
      </c>
      <c r="H19" s="27">
        <v>109000000</v>
      </c>
      <c r="I19" s="27">
        <v>165000000</v>
      </c>
      <c r="J19" s="27">
        <v>290000000</v>
      </c>
      <c r="K19" s="26">
        <f>E40-E56-E61</f>
        <v>809814000</v>
      </c>
      <c r="L19" s="29">
        <f>M102/F3</f>
        <v>10.690799999999999</v>
      </c>
      <c r="M19" s="32" t="s">
        <v>166</v>
      </c>
      <c r="N19" s="30">
        <f>M102/F107</f>
        <v>-178.95469565217391</v>
      </c>
    </row>
    <row r="20" spans="1:14" ht="19" customHeight="1" x14ac:dyDescent="0.25">
      <c r="A20" s="14" t="s">
        <v>100</v>
      </c>
      <c r="B20" s="1"/>
      <c r="C20" s="15">
        <f>(C19/B19)-1</f>
        <v>1.4345250146518196</v>
      </c>
      <c r="D20" s="15">
        <f>(D19/C19)-1</f>
        <v>0.4706435912250293</v>
      </c>
      <c r="E20" s="15">
        <f>(E19/D19)-1</f>
        <v>0.33195136832393346</v>
      </c>
      <c r="F20" s="16">
        <f t="shared" ref="F20:J20" si="3">(F19/E19)-1</f>
        <v>-0.85922699981453721</v>
      </c>
      <c r="G20" s="16">
        <f t="shared" si="3"/>
        <v>-1.4444444444444444</v>
      </c>
      <c r="H20" s="16">
        <f t="shared" si="3"/>
        <v>2.8928571428571428</v>
      </c>
      <c r="I20" s="16">
        <f t="shared" si="3"/>
        <v>0.51376146788990829</v>
      </c>
      <c r="J20" s="16">
        <f t="shared" si="3"/>
        <v>0.75757575757575757</v>
      </c>
    </row>
    <row r="21" spans="1:14" ht="20" x14ac:dyDescent="0.25">
      <c r="A21" s="5" t="s">
        <v>15</v>
      </c>
      <c r="B21" s="2">
        <v>-0.62639999999999996</v>
      </c>
      <c r="C21" s="2">
        <v>-0.9657</v>
      </c>
      <c r="D21" s="2">
        <v>-0.86629999999999996</v>
      </c>
      <c r="E21" s="2">
        <v>-0.76380000000000003</v>
      </c>
      <c r="F21" s="69">
        <f>F19/F3</f>
        <v>-8.1818181818181818E-2</v>
      </c>
      <c r="G21" s="69">
        <f t="shared" ref="G21:J21" si="4">G19/G3</f>
        <v>2.8368794326241134E-2</v>
      </c>
      <c r="H21" s="69">
        <f t="shared" si="4"/>
        <v>8.6783439490445854E-2</v>
      </c>
      <c r="I21" s="69">
        <f t="shared" si="4"/>
        <v>0.11141120864280891</v>
      </c>
      <c r="J21" s="69">
        <f t="shared" si="4"/>
        <v>0.16155988857938719</v>
      </c>
      <c r="L21" s="43" t="s">
        <v>168</v>
      </c>
      <c r="M21" s="19" t="s">
        <v>164</v>
      </c>
      <c r="N21" s="20" t="s">
        <v>167</v>
      </c>
    </row>
    <row r="22" spans="1:14" ht="19" x14ac:dyDescent="0.25">
      <c r="A22" s="6" t="s">
        <v>16</v>
      </c>
      <c r="B22" s="10">
        <v>-98108000</v>
      </c>
      <c r="C22" s="10">
        <v>-233175000</v>
      </c>
      <c r="D22" s="10">
        <v>-339620000</v>
      </c>
      <c r="E22" s="10">
        <v>-462674000</v>
      </c>
      <c r="L22" s="17">
        <f>SUM(H29:J29)/3</f>
        <v>0.61133458620532444</v>
      </c>
      <c r="M22" s="36">
        <f>(-1*E98)/M102</f>
        <v>0</v>
      </c>
      <c r="N22" s="37">
        <f>F107/M102</f>
        <v>-5.5880064859748328E-3</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3">
        <v>-10000000</v>
      </c>
      <c r="G28" s="33">
        <v>70000000</v>
      </c>
      <c r="H28" s="33">
        <v>141300000</v>
      </c>
      <c r="I28" s="33">
        <v>136000000</v>
      </c>
      <c r="J28" s="33">
        <v>252000000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-0.9779030429719523</v>
      </c>
      <c r="G29" s="16">
        <f t="shared" si="5"/>
        <v>-8</v>
      </c>
      <c r="H29" s="16">
        <f t="shared" si="5"/>
        <v>1.0185714285714287</v>
      </c>
      <c r="I29" s="16">
        <f t="shared" si="5"/>
        <v>-3.7508846426043907E-2</v>
      </c>
      <c r="J29" s="16">
        <f t="shared" si="5"/>
        <v>0.85294117647058831</v>
      </c>
    </row>
    <row r="30" spans="1:14" ht="19" x14ac:dyDescent="0.25">
      <c r="A30" s="5" t="s">
        <v>23</v>
      </c>
      <c r="B30" s="2">
        <v>-0.63439999999999996</v>
      </c>
      <c r="C30" s="2">
        <v>-0.97150000000000003</v>
      </c>
      <c r="D30" s="2">
        <v>-0.88380000000000003</v>
      </c>
      <c r="E30" s="2">
        <v>-0.77229999999999999</v>
      </c>
      <c r="F30" s="28">
        <f>F28/F3</f>
        <v>-1.2987012987012988E-2</v>
      </c>
      <c r="G30" s="28">
        <f t="shared" ref="G30:J30" si="6">G28/G3</f>
        <v>7.0921985815602842E-2</v>
      </c>
      <c r="H30" s="28">
        <f t="shared" si="6"/>
        <v>0.1125</v>
      </c>
      <c r="I30" s="28">
        <f t="shared" si="6"/>
        <v>9.1829844699527347E-2</v>
      </c>
      <c r="J30" s="28">
        <f t="shared" si="6"/>
        <v>0.1403899721448468</v>
      </c>
    </row>
    <row r="31" spans="1:14" ht="19" x14ac:dyDescent="0.25">
      <c r="A31" s="5" t="s">
        <v>24</v>
      </c>
      <c r="B31" s="12">
        <v>-0.42</v>
      </c>
      <c r="C31" s="12">
        <v>-1.1399999999999999</v>
      </c>
      <c r="D31" s="12">
        <v>-1.82</v>
      </c>
      <c r="E31" s="12">
        <v>-1.62</v>
      </c>
      <c r="F31" s="34">
        <v>-0.01</v>
      </c>
      <c r="G31" s="34">
        <v>0.23</v>
      </c>
      <c r="H31" s="34">
        <v>0.47</v>
      </c>
      <c r="I31" s="34">
        <v>0.45</v>
      </c>
      <c r="J31" s="34">
        <v>0.83</v>
      </c>
    </row>
    <row r="32" spans="1:14" ht="19" x14ac:dyDescent="0.25">
      <c r="A32" s="5" t="s">
        <v>25</v>
      </c>
      <c r="B32" s="12">
        <v>-0.42</v>
      </c>
      <c r="C32" s="12">
        <v>-1.1399999999999999</v>
      </c>
      <c r="D32" s="12">
        <v>-1.82</v>
      </c>
      <c r="E32" s="12">
        <v>-1.62</v>
      </c>
    </row>
    <row r="33" spans="1:6" ht="19" x14ac:dyDescent="0.25">
      <c r="A33" s="5" t="s">
        <v>26</v>
      </c>
      <c r="B33" s="1">
        <v>224261477</v>
      </c>
      <c r="C33" s="1">
        <v>211512902</v>
      </c>
      <c r="D33" s="1">
        <v>188627720</v>
      </c>
      <c r="E33" s="1">
        <v>280080357</v>
      </c>
      <c r="F33" s="1" cm="1">
        <f t="array" ref="F33">_FV(A1,"Shares outstanding",TRUE)</f>
        <v>302421600</v>
      </c>
    </row>
    <row r="34" spans="1:6" ht="19" x14ac:dyDescent="0.25">
      <c r="A34" s="5" t="s">
        <v>27</v>
      </c>
      <c r="B34" s="1">
        <v>224261477</v>
      </c>
      <c r="C34" s="1">
        <v>211512902</v>
      </c>
      <c r="D34" s="1">
        <v>188627720</v>
      </c>
      <c r="E34" s="1">
        <v>280080357</v>
      </c>
      <c r="F34" s="1" cm="1">
        <f t="array" ref="F34">_FV(A1,"Shares outstanding",TRUE)</f>
        <v>302421600</v>
      </c>
    </row>
    <row r="35" spans="1:6" ht="20" customHeight="1" x14ac:dyDescent="0.25">
      <c r="A35" s="14" t="s">
        <v>102</v>
      </c>
      <c r="B35" s="1"/>
      <c r="C35" s="22">
        <f>(C34-B34)/B34</f>
        <v>-5.6846923379533433E-2</v>
      </c>
      <c r="D35" s="22">
        <f t="shared" ref="D35:F35" si="7">(D34-C34)/C34</f>
        <v>-0.10819756990521552</v>
      </c>
      <c r="E35" s="22">
        <f t="shared" si="7"/>
        <v>0.4848313757914266</v>
      </c>
      <c r="F35" s="22">
        <f t="shared" si="7"/>
        <v>7.9767261222107061E-2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v>18954000</v>
      </c>
      <c r="C38" s="1">
        <v>36789000</v>
      </c>
      <c r="D38" s="1">
        <v>1375932000</v>
      </c>
      <c r="E38" s="1">
        <v>435781000</v>
      </c>
    </row>
    <row r="39" spans="1:6" ht="19" x14ac:dyDescent="0.25">
      <c r="A39" s="5" t="s">
        <v>31</v>
      </c>
      <c r="B39" s="1">
        <v>80819000</v>
      </c>
      <c r="C39" s="1">
        <v>251756000</v>
      </c>
      <c r="D39" s="1">
        <v>640085000</v>
      </c>
      <c r="E39" s="1">
        <v>1491044000</v>
      </c>
    </row>
    <row r="40" spans="1:6" ht="19" x14ac:dyDescent="0.25">
      <c r="A40" s="5" t="s">
        <v>32</v>
      </c>
      <c r="B40" s="1">
        <v>99773000</v>
      </c>
      <c r="C40" s="1">
        <v>288545000</v>
      </c>
      <c r="D40" s="1">
        <v>2016017000</v>
      </c>
      <c r="E40" s="1">
        <v>1926825000</v>
      </c>
    </row>
    <row r="41" spans="1:6" ht="19" x14ac:dyDescent="0.25">
      <c r="A41" s="5" t="s">
        <v>33</v>
      </c>
      <c r="B41" s="1">
        <v>67779000</v>
      </c>
      <c r="C41" s="1">
        <v>110956000</v>
      </c>
      <c r="D41" s="1">
        <v>137491000</v>
      </c>
      <c r="E41" s="1">
        <v>178188000</v>
      </c>
    </row>
    <row r="42" spans="1:6" ht="19" x14ac:dyDescent="0.25">
      <c r="A42" s="5" t="s">
        <v>34</v>
      </c>
      <c r="B42" s="1" t="s">
        <v>91</v>
      </c>
      <c r="C42" s="1" t="s">
        <v>91</v>
      </c>
      <c r="D42" s="1" t="s">
        <v>91</v>
      </c>
      <c r="E42" s="1" t="s">
        <v>91</v>
      </c>
    </row>
    <row r="43" spans="1:6" ht="19" x14ac:dyDescent="0.25">
      <c r="A43" s="5" t="s">
        <v>35</v>
      </c>
      <c r="B43" s="1">
        <v>15513000</v>
      </c>
      <c r="C43" s="1">
        <v>28193000</v>
      </c>
      <c r="D43" s="1">
        <v>72565000</v>
      </c>
      <c r="E43" s="1">
        <v>93112000</v>
      </c>
    </row>
    <row r="44" spans="1:6" ht="19" x14ac:dyDescent="0.25">
      <c r="A44" s="6" t="s">
        <v>36</v>
      </c>
      <c r="B44" s="10">
        <v>183065000</v>
      </c>
      <c r="C44" s="10">
        <v>427694000</v>
      </c>
      <c r="D44" s="10">
        <v>2226073000</v>
      </c>
      <c r="E44" s="10">
        <v>2198125000</v>
      </c>
    </row>
    <row r="45" spans="1:6" ht="19" x14ac:dyDescent="0.25">
      <c r="A45" s="5" t="s">
        <v>37</v>
      </c>
      <c r="B45" s="1">
        <v>2871000</v>
      </c>
      <c r="C45" s="1">
        <v>54991000</v>
      </c>
      <c r="D45" s="1">
        <v>51709000</v>
      </c>
      <c r="E45" s="1">
        <v>58567000</v>
      </c>
    </row>
    <row r="46" spans="1:6" ht="19" x14ac:dyDescent="0.25">
      <c r="A46" s="5" t="s">
        <v>38</v>
      </c>
      <c r="B46" s="1" t="s">
        <v>91</v>
      </c>
      <c r="C46" s="1" t="s">
        <v>91</v>
      </c>
      <c r="D46" s="1" t="s">
        <v>91</v>
      </c>
      <c r="E46" s="1" t="s">
        <v>91</v>
      </c>
    </row>
    <row r="47" spans="1:6" ht="19" x14ac:dyDescent="0.25">
      <c r="A47" s="5" t="s">
        <v>39</v>
      </c>
      <c r="B47" s="1" t="s">
        <v>91</v>
      </c>
      <c r="C47" s="1" t="s">
        <v>91</v>
      </c>
      <c r="D47" s="1" t="s">
        <v>91</v>
      </c>
      <c r="E47" s="1" t="s">
        <v>91</v>
      </c>
    </row>
    <row r="48" spans="1:6"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19" x14ac:dyDescent="0.25">
      <c r="A83" s="5" t="s">
        <v>34</v>
      </c>
      <c r="B83" s="1" t="s">
        <v>91</v>
      </c>
      <c r="C83" s="1" t="s">
        <v>91</v>
      </c>
      <c r="D83" s="1" t="s">
        <v>91</v>
      </c>
      <c r="E83" s="1" t="s">
        <v>91</v>
      </c>
    </row>
    <row r="84" spans="1:13" ht="19" customHeight="1" x14ac:dyDescent="0.25">
      <c r="A84" s="5" t="s">
        <v>47</v>
      </c>
      <c r="B84" s="1">
        <v>1511000</v>
      </c>
      <c r="C84" s="1">
        <v>-327000</v>
      </c>
      <c r="D84" s="1">
        <v>6143000</v>
      </c>
      <c r="E84" s="1">
        <v>13580000</v>
      </c>
      <c r="F84" s="44"/>
      <c r="G84" s="44"/>
      <c r="H84" s="44"/>
      <c r="I84" s="44"/>
      <c r="J84" s="44"/>
      <c r="K84" s="44"/>
      <c r="L84" s="74" t="s">
        <v>124</v>
      </c>
      <c r="M84" s="75"/>
    </row>
    <row r="85" spans="1:13" ht="21" customHeight="1" x14ac:dyDescent="0.25">
      <c r="A85" s="5" t="s">
        <v>71</v>
      </c>
      <c r="B85" s="1">
        <v>21312000</v>
      </c>
      <c r="C85" s="1">
        <v>25948000</v>
      </c>
      <c r="D85" s="1">
        <v>29361000</v>
      </c>
      <c r="E85" s="1" t="s">
        <v>91</v>
      </c>
      <c r="F85" s="44"/>
      <c r="G85" s="44"/>
      <c r="H85" s="44"/>
      <c r="I85" s="44"/>
      <c r="J85" s="44"/>
      <c r="K85" s="44"/>
      <c r="L85" s="76" t="s">
        <v>125</v>
      </c>
      <c r="M85" s="76"/>
    </row>
    <row r="86" spans="1:13" ht="20" x14ac:dyDescent="0.25">
      <c r="A86" s="5" t="s">
        <v>72</v>
      </c>
      <c r="B86" s="1">
        <v>8399000</v>
      </c>
      <c r="C86" s="1">
        <v>29944000</v>
      </c>
      <c r="D86" s="1">
        <v>55262000</v>
      </c>
      <c r="E86" s="1" t="s">
        <v>91</v>
      </c>
      <c r="F86" s="44"/>
      <c r="G86" s="44"/>
      <c r="H86" s="44"/>
      <c r="I86" s="44"/>
      <c r="J86" s="44"/>
      <c r="K86" s="44"/>
      <c r="L86" s="38" t="s">
        <v>126</v>
      </c>
      <c r="M86" s="45">
        <f>E17</f>
        <v>0</v>
      </c>
    </row>
    <row r="87" spans="1:13" ht="20" x14ac:dyDescent="0.25">
      <c r="A87" s="6" t="s">
        <v>73</v>
      </c>
      <c r="B87" s="10">
        <v>-68834000</v>
      </c>
      <c r="C87" s="10">
        <v>-82057000</v>
      </c>
      <c r="D87" s="10">
        <v>-105060000</v>
      </c>
      <c r="E87" s="10">
        <v>-157333000</v>
      </c>
      <c r="F87" s="44"/>
      <c r="G87" s="44"/>
      <c r="H87" s="44"/>
      <c r="I87" s="44"/>
      <c r="J87" s="44"/>
      <c r="K87" s="44"/>
      <c r="L87" s="38" t="s">
        <v>127</v>
      </c>
      <c r="M87" s="45">
        <f>E56</f>
        <v>7375000</v>
      </c>
    </row>
    <row r="88" spans="1:13" ht="20" x14ac:dyDescent="0.25">
      <c r="A88" s="5" t="s">
        <v>74</v>
      </c>
      <c r="B88" s="1">
        <v>-1954000</v>
      </c>
      <c r="C88" s="1">
        <v>-1040000</v>
      </c>
      <c r="D88" s="1">
        <v>-3600000</v>
      </c>
      <c r="E88" s="1">
        <v>-4121000</v>
      </c>
      <c r="F88" s="44"/>
      <c r="G88" s="44"/>
      <c r="H88" s="44"/>
      <c r="I88" s="44"/>
      <c r="J88" s="44"/>
      <c r="K88" s="44"/>
      <c r="L88" s="38" t="s">
        <v>128</v>
      </c>
      <c r="M88" s="45">
        <f>E61</f>
        <v>1109636000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F89" s="44"/>
      <c r="G89" s="44"/>
      <c r="H89" s="44"/>
      <c r="I89" s="44"/>
      <c r="J89" s="44"/>
      <c r="K89" s="44"/>
      <c r="L89" s="39" t="s">
        <v>129</v>
      </c>
      <c r="M89" s="46">
        <f>M86/(M87+M88)</f>
        <v>0</v>
      </c>
    </row>
    <row r="90" spans="1:13" ht="20" x14ac:dyDescent="0.25">
      <c r="A90" s="5" t="s">
        <v>75</v>
      </c>
      <c r="B90" s="1" t="s">
        <v>91</v>
      </c>
      <c r="C90" s="1" t="s">
        <v>91</v>
      </c>
      <c r="D90" s="1" t="s">
        <v>91</v>
      </c>
      <c r="E90" s="1" t="s">
        <v>91</v>
      </c>
      <c r="F90" s="44"/>
      <c r="G90" s="44"/>
      <c r="H90" s="44"/>
      <c r="I90" s="44"/>
      <c r="J90" s="44"/>
      <c r="K90" s="44"/>
      <c r="L90" s="38" t="s">
        <v>105</v>
      </c>
      <c r="M90" s="45">
        <f>E27</f>
        <v>6293000</v>
      </c>
    </row>
    <row r="91" spans="1:13" ht="20" x14ac:dyDescent="0.25">
      <c r="A91" s="5" t="s">
        <v>76</v>
      </c>
      <c r="B91" s="1">
        <v>-65978000</v>
      </c>
      <c r="C91" s="1">
        <v>-329616000</v>
      </c>
      <c r="D91" s="1">
        <v>-663595000</v>
      </c>
      <c r="E91" s="1">
        <v>-2051908000</v>
      </c>
      <c r="F91" s="44"/>
      <c r="G91" s="44"/>
      <c r="H91" s="44"/>
      <c r="I91" s="44"/>
      <c r="J91" s="44"/>
      <c r="K91" s="44"/>
      <c r="L91" s="38" t="s">
        <v>19</v>
      </c>
      <c r="M91" s="45">
        <f>E25</f>
        <v>-446258000</v>
      </c>
    </row>
    <row r="92" spans="1:13" ht="20" x14ac:dyDescent="0.25">
      <c r="A92" s="5" t="s">
        <v>77</v>
      </c>
      <c r="B92" s="1">
        <v>104248000</v>
      </c>
      <c r="C92" s="1">
        <v>157407000</v>
      </c>
      <c r="D92" s="1">
        <v>271942000</v>
      </c>
      <c r="E92" s="1">
        <v>1200558000</v>
      </c>
      <c r="F92" s="44"/>
      <c r="G92" s="44"/>
      <c r="H92" s="44"/>
      <c r="I92" s="44"/>
      <c r="J92" s="44"/>
      <c r="K92" s="44"/>
      <c r="L92" s="39" t="s">
        <v>130</v>
      </c>
      <c r="M92" s="46">
        <f>M90/M91</f>
        <v>-1.4101707980585222E-2</v>
      </c>
    </row>
    <row r="93" spans="1:13" ht="19" customHeight="1" x14ac:dyDescent="0.25">
      <c r="A93" s="5" t="s">
        <v>78</v>
      </c>
      <c r="B93" s="1">
        <v>-675000</v>
      </c>
      <c r="C93" s="1">
        <v>-3610000</v>
      </c>
      <c r="D93" s="1">
        <v>-5330000</v>
      </c>
      <c r="E93" s="1">
        <v>-10334000</v>
      </c>
      <c r="F93" s="44"/>
      <c r="G93" s="44"/>
      <c r="H93" s="44"/>
      <c r="I93" s="44"/>
      <c r="J93" s="44"/>
      <c r="K93" s="44"/>
      <c r="L93" s="39" t="s">
        <v>131</v>
      </c>
      <c r="M93" s="46">
        <f>M89*(1-M92)</f>
        <v>0</v>
      </c>
    </row>
    <row r="94" spans="1:13" ht="20" customHeight="1" x14ac:dyDescent="0.25">
      <c r="A94" s="6" t="s">
        <v>79</v>
      </c>
      <c r="B94" s="10">
        <v>35641000</v>
      </c>
      <c r="C94" s="10">
        <v>-176859000</v>
      </c>
      <c r="D94" s="10">
        <v>-400583000</v>
      </c>
      <c r="E94" s="10">
        <v>-865805000</v>
      </c>
      <c r="F94" s="44"/>
      <c r="G94" s="44"/>
      <c r="H94" s="44"/>
      <c r="I94" s="44"/>
      <c r="J94" s="44"/>
      <c r="K94" s="44"/>
      <c r="L94" s="76" t="s">
        <v>132</v>
      </c>
      <c r="M94" s="76"/>
    </row>
    <row r="95" spans="1:13" ht="20" x14ac:dyDescent="0.25">
      <c r="A95" s="5" t="s">
        <v>80</v>
      </c>
      <c r="B95" s="1" t="s">
        <v>91</v>
      </c>
      <c r="C95" s="1" t="s">
        <v>91</v>
      </c>
      <c r="D95" s="1" t="s">
        <v>91</v>
      </c>
      <c r="E95" s="1" t="s">
        <v>91</v>
      </c>
      <c r="F95" s="44"/>
      <c r="G95" s="44"/>
      <c r="H95" s="44"/>
      <c r="I95" s="44"/>
      <c r="J95" s="44"/>
      <c r="K95" s="44"/>
      <c r="L95" s="38" t="s">
        <v>133</v>
      </c>
      <c r="M95" s="70">
        <f>'[1]US Treasury Bonds'!$C$8</f>
        <v>4.845E-2</v>
      </c>
    </row>
    <row r="96" spans="1:13" ht="20" x14ac:dyDescent="0.25">
      <c r="A96" s="5" t="s">
        <v>81</v>
      </c>
      <c r="B96" s="1" t="s">
        <v>91</v>
      </c>
      <c r="C96" s="1" t="s">
        <v>91</v>
      </c>
      <c r="D96" s="1">
        <v>786600000</v>
      </c>
      <c r="E96" s="1" t="s">
        <v>91</v>
      </c>
      <c r="F96" s="44"/>
      <c r="G96" s="44"/>
      <c r="H96" s="44"/>
      <c r="I96" s="44"/>
      <c r="J96" s="44"/>
      <c r="K96" s="44"/>
      <c r="L96" s="38" t="s">
        <v>134</v>
      </c>
      <c r="M96" s="48" cm="1">
        <f t="array" ref="M96">_FV(A1,"Beta")</f>
        <v>2.4849999999999999</v>
      </c>
    </row>
    <row r="97" spans="1:13" ht="20" x14ac:dyDescent="0.25">
      <c r="A97" s="5" t="s">
        <v>82</v>
      </c>
      <c r="B97" s="1" t="s">
        <v>91</v>
      </c>
      <c r="C97" s="1" t="s">
        <v>91</v>
      </c>
      <c r="D97" s="1" t="s">
        <v>91</v>
      </c>
      <c r="E97" s="1" t="s">
        <v>91</v>
      </c>
      <c r="F97" s="44"/>
      <c r="G97" s="44"/>
      <c r="H97" s="44"/>
      <c r="I97" s="44"/>
      <c r="J97" s="44"/>
      <c r="K97" s="44"/>
      <c r="L97" s="38" t="s">
        <v>135</v>
      </c>
      <c r="M97" s="47">
        <v>8.4000000000000005E-2</v>
      </c>
    </row>
    <row r="98" spans="1:13" ht="19" customHeight="1" x14ac:dyDescent="0.25">
      <c r="A98" s="5" t="s">
        <v>83</v>
      </c>
      <c r="B98" s="1" t="s">
        <v>91</v>
      </c>
      <c r="C98" s="1" t="s">
        <v>91</v>
      </c>
      <c r="D98" s="1" t="s">
        <v>91</v>
      </c>
      <c r="E98" s="1">
        <v>0</v>
      </c>
      <c r="F98" s="44"/>
      <c r="G98" s="44"/>
      <c r="H98" s="44"/>
      <c r="I98" s="44"/>
      <c r="J98" s="44"/>
      <c r="K98" s="44"/>
      <c r="L98" s="39" t="s">
        <v>136</v>
      </c>
      <c r="M98" s="46">
        <f>(M95)+((M96)*(M97-M95))</f>
        <v>0.13679175000000002</v>
      </c>
    </row>
    <row r="99" spans="1:13" ht="20" customHeight="1" x14ac:dyDescent="0.25">
      <c r="A99" s="5" t="s">
        <v>84</v>
      </c>
      <c r="B99" s="1">
        <v>13432000</v>
      </c>
      <c r="C99" s="1">
        <v>276758000</v>
      </c>
      <c r="D99" s="1">
        <v>1057914000</v>
      </c>
      <c r="E99" s="1">
        <v>82241000</v>
      </c>
      <c r="F99" s="44"/>
      <c r="G99" s="44"/>
      <c r="H99" s="44"/>
      <c r="I99" s="44"/>
      <c r="J99" s="44"/>
      <c r="K99" s="44"/>
      <c r="L99" s="76" t="s">
        <v>137</v>
      </c>
      <c r="M99" s="76"/>
    </row>
    <row r="100" spans="1:13" ht="20" x14ac:dyDescent="0.25">
      <c r="A100" s="6" t="s">
        <v>85</v>
      </c>
      <c r="B100" s="10">
        <v>13432000</v>
      </c>
      <c r="C100" s="10">
        <v>276758000</v>
      </c>
      <c r="D100" s="10">
        <v>1844514000</v>
      </c>
      <c r="E100" s="10">
        <v>82241000</v>
      </c>
      <c r="F100" s="44"/>
      <c r="G100" s="44"/>
      <c r="H100" s="44"/>
      <c r="I100" s="44"/>
      <c r="J100" s="44"/>
      <c r="K100" s="44"/>
      <c r="L100" s="38" t="s">
        <v>138</v>
      </c>
      <c r="M100" s="45">
        <f>M87+M88</f>
        <v>1117011000</v>
      </c>
    </row>
    <row r="101" spans="1:13" ht="20" x14ac:dyDescent="0.25">
      <c r="A101" s="5" t="s">
        <v>86</v>
      </c>
      <c r="B101" s="1">
        <v>-85000</v>
      </c>
      <c r="C101" s="1">
        <v>-7000</v>
      </c>
      <c r="D101" s="1">
        <v>5000</v>
      </c>
      <c r="E101" s="1">
        <v>-4000</v>
      </c>
      <c r="F101" s="44"/>
      <c r="G101" s="44"/>
      <c r="H101" s="44"/>
      <c r="I101" s="44"/>
      <c r="J101" s="44"/>
      <c r="K101" s="44"/>
      <c r="L101" s="39" t="s">
        <v>139</v>
      </c>
      <c r="M101" s="46">
        <f>M100/M104</f>
        <v>0.11948012857518302</v>
      </c>
    </row>
    <row r="102" spans="1:13" ht="20" x14ac:dyDescent="0.25">
      <c r="A102" s="6" t="s">
        <v>87</v>
      </c>
      <c r="B102" s="10">
        <v>-19846000</v>
      </c>
      <c r="C102" s="10">
        <v>17835000</v>
      </c>
      <c r="D102" s="10">
        <v>1338876000</v>
      </c>
      <c r="E102" s="10">
        <v>-940901000</v>
      </c>
      <c r="F102" s="44"/>
      <c r="G102" s="44"/>
      <c r="H102" s="44"/>
      <c r="I102" s="44"/>
      <c r="J102" s="44"/>
      <c r="K102" s="44"/>
      <c r="L102" s="38" t="s">
        <v>140</v>
      </c>
      <c r="M102" s="49" cm="1">
        <f t="array" ref="M102">_FV(A1,"Market cap",TRUE)</f>
        <v>8231916000</v>
      </c>
    </row>
    <row r="103" spans="1:13" ht="20" x14ac:dyDescent="0.25">
      <c r="A103" s="5" t="s">
        <v>88</v>
      </c>
      <c r="B103" s="1">
        <v>39817000</v>
      </c>
      <c r="C103" s="1">
        <v>19971000</v>
      </c>
      <c r="D103" s="1">
        <v>37806000</v>
      </c>
      <c r="E103" s="1">
        <v>1376682000</v>
      </c>
      <c r="F103" s="44"/>
      <c r="G103" s="44"/>
      <c r="H103" s="44"/>
      <c r="I103" s="44"/>
      <c r="J103" s="44"/>
      <c r="K103" s="44"/>
      <c r="L103" s="39" t="s">
        <v>141</v>
      </c>
      <c r="M103" s="46">
        <f>M102/M104</f>
        <v>0.88051987142481702</v>
      </c>
    </row>
    <row r="104" spans="1:13" ht="20" customHeight="1" thickBot="1" x14ac:dyDescent="0.3">
      <c r="A104" s="7" t="s">
        <v>89</v>
      </c>
      <c r="B104" s="11">
        <v>19971000</v>
      </c>
      <c r="C104" s="11">
        <v>37806000</v>
      </c>
      <c r="D104" s="11">
        <v>1376682000</v>
      </c>
      <c r="E104" s="11">
        <v>435781000</v>
      </c>
      <c r="F104" s="78" t="s">
        <v>114</v>
      </c>
      <c r="G104" s="78"/>
      <c r="H104" s="78"/>
      <c r="I104" s="78"/>
      <c r="J104" s="78"/>
      <c r="K104" s="44"/>
      <c r="L104" s="39" t="s">
        <v>142</v>
      </c>
      <c r="M104" s="51">
        <f>M100+M102</f>
        <v>9348927000</v>
      </c>
    </row>
    <row r="105" spans="1:13" ht="21" customHeight="1" thickTop="1" x14ac:dyDescent="0.25">
      <c r="A105" s="14" t="s">
        <v>160</v>
      </c>
      <c r="B105" s="1">
        <f t="shared" ref="B105:D105" si="10">(B22*(1-0.2))+B77+B88+B81</f>
        <v>-80854400</v>
      </c>
      <c r="C105" s="1">
        <f t="shared" si="10"/>
        <v>-211759000</v>
      </c>
      <c r="D105" s="1">
        <f t="shared" si="10"/>
        <v>-249776000</v>
      </c>
      <c r="E105" s="1">
        <f>(E22*(1-0.2))+E77+E88+E81</f>
        <v>-356461200</v>
      </c>
      <c r="F105" s="71">
        <f>F107/F3</f>
        <v>-5.9740259740259739E-2</v>
      </c>
      <c r="G105" s="71">
        <f>G107/G3</f>
        <v>4.8632218844984802E-2</v>
      </c>
      <c r="H105" s="71">
        <f>H107/H3</f>
        <v>9.8726114649681534E-2</v>
      </c>
      <c r="I105" s="71">
        <f>I107/I3</f>
        <v>0.15192437542201215</v>
      </c>
      <c r="J105" s="71">
        <f>J107/J3</f>
        <v>0.1392757660167131</v>
      </c>
      <c r="K105" s="72" t="s">
        <v>165</v>
      </c>
      <c r="L105" s="76" t="s">
        <v>143</v>
      </c>
      <c r="M105" s="76"/>
    </row>
    <row r="106" spans="1:13" ht="20" x14ac:dyDescent="0.25">
      <c r="A106" s="14" t="s">
        <v>161</v>
      </c>
      <c r="B106" s="1"/>
      <c r="C106" s="15">
        <f>(C107/B107)-1</f>
        <v>0.2082410155651242</v>
      </c>
      <c r="D106" s="15">
        <f>(D107/C107)-1</f>
        <v>0.31479580656694384</v>
      </c>
      <c r="E106" s="15">
        <f>(E107/D107)-1</f>
        <v>0.5068858441079982</v>
      </c>
      <c r="F106" s="52">
        <f>(F107/E107)/4</f>
        <v>6.6942976226511741E-2</v>
      </c>
      <c r="G106" s="52">
        <f>(G107/F107)-1</f>
        <v>-2.0434782608695654</v>
      </c>
      <c r="H106" s="52">
        <f>(H107/G107)-1</f>
        <v>1.5833333333333335</v>
      </c>
      <c r="I106" s="52">
        <f>(I107/H107)-1</f>
        <v>0.81451612903225801</v>
      </c>
      <c r="J106" s="52">
        <f>(J107/I107)-1</f>
        <v>0.11111111111111116</v>
      </c>
      <c r="K106" s="66">
        <f>SUM(F106:J106)/5</f>
        <v>0.10648505776672978</v>
      </c>
      <c r="L106" s="40" t="s">
        <v>106</v>
      </c>
      <c r="M106" s="53">
        <f>(M101*M93)+(M103*M98)</f>
        <v>0.12044785412197573</v>
      </c>
    </row>
    <row r="107" spans="1:13" ht="19" x14ac:dyDescent="0.25">
      <c r="A107" s="35" t="s">
        <v>162</v>
      </c>
      <c r="B107" s="1">
        <v>-71763000</v>
      </c>
      <c r="C107" s="1">
        <v>-86707000</v>
      </c>
      <c r="D107" s="1">
        <v>-114002000</v>
      </c>
      <c r="E107" s="1">
        <v>-171788000</v>
      </c>
      <c r="F107" s="54">
        <v>-46000000</v>
      </c>
      <c r="G107" s="54">
        <v>48000000</v>
      </c>
      <c r="H107" s="54">
        <v>124000000</v>
      </c>
      <c r="I107" s="54">
        <v>225000000</v>
      </c>
      <c r="J107" s="54">
        <v>250000000</v>
      </c>
      <c r="K107" s="50" t="s">
        <v>163</v>
      </c>
      <c r="L107" s="55" t="s">
        <v>144</v>
      </c>
      <c r="M107" s="41">
        <f>(SUM(F4:J4)/5)</f>
        <v>0.2519278061008513</v>
      </c>
    </row>
    <row r="108" spans="1:13" ht="19" x14ac:dyDescent="0.2">
      <c r="F108" s="73"/>
      <c r="G108" s="73"/>
      <c r="H108" s="73"/>
      <c r="I108" s="73"/>
      <c r="J108" s="56">
        <f>J107*(1+M108)/(M109-M108)</f>
        <v>2684712006.9617305</v>
      </c>
      <c r="K108" s="57" t="s">
        <v>145</v>
      </c>
      <c r="L108" s="58" t="s">
        <v>146</v>
      </c>
      <c r="M108" s="42">
        <v>2.5000000000000001E-2</v>
      </c>
    </row>
    <row r="109" spans="1:13" ht="19" x14ac:dyDescent="0.2">
      <c r="F109" s="56">
        <f t="shared" ref="F109:I109" si="11">F108+F107</f>
        <v>-46000000</v>
      </c>
      <c r="G109" s="56">
        <f t="shared" si="11"/>
        <v>48000000</v>
      </c>
      <c r="H109" s="56">
        <f t="shared" si="11"/>
        <v>124000000</v>
      </c>
      <c r="I109" s="56">
        <f t="shared" si="11"/>
        <v>225000000</v>
      </c>
      <c r="J109" s="56">
        <f>J108+J107</f>
        <v>2934712006.9617305</v>
      </c>
      <c r="K109" s="57" t="s">
        <v>142</v>
      </c>
      <c r="L109" s="59" t="s">
        <v>147</v>
      </c>
      <c r="M109" s="41">
        <f>M106</f>
        <v>0.12044785412197573</v>
      </c>
    </row>
    <row r="110" spans="1:13" ht="19" x14ac:dyDescent="0.2">
      <c r="F110" s="77" t="s">
        <v>148</v>
      </c>
      <c r="G110" s="77"/>
      <c r="H110" s="44"/>
      <c r="I110" s="44"/>
      <c r="J110" s="44"/>
      <c r="K110" s="44"/>
      <c r="L110" s="44"/>
      <c r="M110" s="44"/>
    </row>
    <row r="111" spans="1:13" ht="20" x14ac:dyDescent="0.2">
      <c r="F111" s="60" t="s">
        <v>149</v>
      </c>
      <c r="G111" s="49">
        <f>NPV(M109,F109,G109,H109,I109,J109)</f>
        <v>1890006763.739367</v>
      </c>
      <c r="H111" s="44"/>
      <c r="I111" s="44"/>
      <c r="J111" s="44"/>
      <c r="K111" s="44"/>
      <c r="L111" s="44"/>
      <c r="M111" s="44"/>
    </row>
    <row r="112" spans="1:13" ht="20" x14ac:dyDescent="0.2">
      <c r="F112" s="60" t="s">
        <v>150</v>
      </c>
      <c r="G112" s="49">
        <f>E40</f>
        <v>1926825000</v>
      </c>
      <c r="H112" s="44"/>
      <c r="I112" s="44"/>
      <c r="J112" s="44"/>
      <c r="K112" s="44"/>
      <c r="L112" s="44"/>
      <c r="M112" s="44"/>
    </row>
    <row r="113" spans="6:13" ht="20" x14ac:dyDescent="0.2">
      <c r="F113" s="60" t="s">
        <v>138</v>
      </c>
      <c r="G113" s="49">
        <f>M100</f>
        <v>1117011000</v>
      </c>
      <c r="H113" s="44"/>
      <c r="I113" s="44"/>
      <c r="J113" s="44"/>
      <c r="K113" s="44"/>
      <c r="L113" s="44"/>
      <c r="M113" s="44"/>
    </row>
    <row r="114" spans="6:13" ht="20" x14ac:dyDescent="0.2">
      <c r="F114" s="60" t="s">
        <v>151</v>
      </c>
      <c r="G114" s="49">
        <f>G111+G112-G113</f>
        <v>2699820763.739367</v>
      </c>
      <c r="H114" s="44"/>
      <c r="I114" s="44"/>
      <c r="J114" s="44"/>
      <c r="K114" s="44"/>
      <c r="L114" s="44"/>
      <c r="M114" s="44"/>
    </row>
    <row r="115" spans="6:13" ht="20" x14ac:dyDescent="0.2">
      <c r="F115" s="60" t="s">
        <v>169</v>
      </c>
      <c r="G115" s="60">
        <f>E34*(1+(5*0.05))</f>
        <v>350100446.25</v>
      </c>
      <c r="H115" s="44"/>
      <c r="I115" s="44"/>
      <c r="J115" s="44"/>
      <c r="K115" s="44"/>
      <c r="L115" s="44"/>
      <c r="M115" s="44"/>
    </row>
    <row r="116" spans="6:13" ht="20" x14ac:dyDescent="0.2">
      <c r="F116" s="61" t="s">
        <v>152</v>
      </c>
      <c r="G116" s="62">
        <f>G114/G115</f>
        <v>7.7115604754513134</v>
      </c>
      <c r="H116" s="44"/>
      <c r="I116" s="44"/>
      <c r="J116" s="44"/>
      <c r="K116" s="44"/>
      <c r="L116" s="44"/>
      <c r="M116" s="44"/>
    </row>
    <row r="117" spans="6:13" ht="20" x14ac:dyDescent="0.2">
      <c r="F117" s="60" t="s">
        <v>153</v>
      </c>
      <c r="G117" s="63" cm="1">
        <f t="array" ref="G117">_FV(A1,"Price")</f>
        <v>27.22</v>
      </c>
      <c r="H117" s="44"/>
      <c r="I117" s="44"/>
      <c r="J117" s="44"/>
      <c r="K117" s="44"/>
      <c r="L117" s="44"/>
      <c r="M117" s="44"/>
    </row>
    <row r="118" spans="6:13" ht="20" x14ac:dyDescent="0.2">
      <c r="F118" s="61" t="s">
        <v>154</v>
      </c>
      <c r="G118" s="64">
        <f>G116/G117-1</f>
        <v>-0.71669505968217062</v>
      </c>
      <c r="H118" s="44"/>
      <c r="I118" s="44"/>
      <c r="J118" s="44"/>
      <c r="K118" s="44"/>
      <c r="L118" s="44"/>
      <c r="M118" s="44"/>
    </row>
    <row r="119" spans="6:13" ht="20" x14ac:dyDescent="0.2">
      <c r="F119" s="61" t="s">
        <v>155</v>
      </c>
      <c r="G119" s="65"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7"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2023-01-31T18:58:47Z</dcterms:created>
  <dcterms:modified xsi:type="dcterms:W3CDTF">2023-10-30T07:01:16Z</dcterms:modified>
</cp:coreProperties>
</file>