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31A18312-C1C7-714F-B64B-E81D13F50CA2}"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05" i="1" l="1"/>
  <c r="J105" i="1"/>
  <c r="I105" i="1"/>
  <c r="H105" i="1"/>
  <c r="G105" i="1"/>
  <c r="H117" i="1" a="1"/>
  <c r="H117" i="1" s="1"/>
  <c r="G106" i="1"/>
  <c r="H106" i="1"/>
  <c r="I106" i="1"/>
  <c r="J106" i="1"/>
  <c r="K106" i="1"/>
  <c r="O96" i="1" a="1"/>
  <c r="O96" i="1" s="1"/>
  <c r="O93" i="1" a="1"/>
  <c r="O93" i="1" s="1"/>
  <c r="O7" i="1"/>
  <c r="N7" i="1"/>
  <c r="M7" i="1"/>
  <c r="G34" i="1" a="1"/>
  <c r="G34" i="1" s="1"/>
  <c r="G35" i="1" s="1"/>
  <c r="L16" i="1" s="1"/>
  <c r="G33" i="1" a="1"/>
  <c r="G33" i="1" s="1"/>
  <c r="G109" i="1"/>
  <c r="H109" i="1"/>
  <c r="H19" i="1"/>
  <c r="H21" i="1" s="1"/>
  <c r="G29" i="1"/>
  <c r="H29" i="1"/>
  <c r="I29" i="1"/>
  <c r="J29" i="1"/>
  <c r="K29" i="1"/>
  <c r="M22" i="1" s="1"/>
  <c r="G30" i="1"/>
  <c r="H30" i="1"/>
  <c r="I30" i="1"/>
  <c r="J30" i="1"/>
  <c r="K30" i="1"/>
  <c r="I21" i="1" l="1"/>
  <c r="I20" i="1"/>
  <c r="J20" i="1" l="1"/>
  <c r="J21" i="1"/>
  <c r="K20" i="1" l="1"/>
  <c r="K21" i="1"/>
  <c r="N102" i="1" l="1" a="1"/>
  <c r="N102" i="1" s="1"/>
  <c r="O22" i="1" s="1"/>
  <c r="N96" i="1" a="1"/>
  <c r="N96" i="1" s="1"/>
  <c r="N91" i="1"/>
  <c r="N90" i="1"/>
  <c r="N88" i="1"/>
  <c r="N87" i="1"/>
  <c r="N86" i="1"/>
  <c r="O13" i="1"/>
  <c r="N13" i="1"/>
  <c r="M13" i="1"/>
  <c r="L13" i="1"/>
  <c r="K4" i="1"/>
  <c r="J4" i="1"/>
  <c r="I4" i="1"/>
  <c r="I107" i="1" s="1"/>
  <c r="H4" i="1"/>
  <c r="G4" i="1"/>
  <c r="G19" i="1" s="1"/>
  <c r="F106" i="1"/>
  <c r="E106" i="1"/>
  <c r="D106" i="1"/>
  <c r="C106" i="1"/>
  <c r="F89" i="1"/>
  <c r="O10" i="1" s="1"/>
  <c r="E89" i="1"/>
  <c r="D89" i="1"/>
  <c r="C89" i="1"/>
  <c r="B89" i="1"/>
  <c r="F80" i="1"/>
  <c r="N10" i="1" s="1"/>
  <c r="E80" i="1"/>
  <c r="D80" i="1"/>
  <c r="C80" i="1"/>
  <c r="B80" i="1"/>
  <c r="F35" i="1"/>
  <c r="E35" i="1"/>
  <c r="D35" i="1"/>
  <c r="C35" i="1"/>
  <c r="F29" i="1"/>
  <c r="N4" i="1" s="1"/>
  <c r="E29" i="1"/>
  <c r="D29" i="1"/>
  <c r="C29" i="1"/>
  <c r="F20" i="1"/>
  <c r="E20" i="1"/>
  <c r="D20" i="1"/>
  <c r="C20" i="1"/>
  <c r="F9" i="1"/>
  <c r="L10" i="1" s="1"/>
  <c r="E9" i="1"/>
  <c r="D9" i="1"/>
  <c r="C9" i="1"/>
  <c r="B9" i="1"/>
  <c r="F4" i="1"/>
  <c r="E4" i="1"/>
  <c r="D4" i="1"/>
  <c r="C4" i="1"/>
  <c r="O4" i="1" l="1"/>
  <c r="M4" i="1"/>
  <c r="H115" i="1"/>
  <c r="L4" i="1"/>
  <c r="J107" i="1"/>
  <c r="K107" i="1" s="1"/>
  <c r="G20" i="1"/>
  <c r="G21" i="1"/>
  <c r="H20" i="1"/>
  <c r="N92" i="1"/>
  <c r="I109" i="1"/>
  <c r="N89" i="1"/>
  <c r="N93" i="1" s="1"/>
  <c r="N100" i="1"/>
  <c r="N19" i="1"/>
  <c r="N22" i="1"/>
  <c r="M19" i="1"/>
  <c r="N107" i="1"/>
  <c r="N16" i="1"/>
  <c r="O16" i="1"/>
  <c r="M16" i="1"/>
  <c r="N104" i="1"/>
  <c r="N103" i="1" s="1"/>
  <c r="H113" i="1"/>
  <c r="J109" i="1" l="1"/>
  <c r="L106" i="1"/>
  <c r="B105" i="1"/>
  <c r="E105" i="1"/>
  <c r="C105" i="1"/>
  <c r="D105" i="1"/>
  <c r="O19" i="1"/>
  <c r="N101" i="1"/>
  <c r="F77" i="1" l="1"/>
  <c r="F105" i="1" s="1"/>
  <c r="F59" i="1"/>
  <c r="F40" i="1"/>
  <c r="C26" i="1"/>
  <c r="D26" i="1"/>
  <c r="E26" i="1"/>
  <c r="F26" i="1"/>
  <c r="B26" i="1"/>
  <c r="C30" i="1"/>
  <c r="D30" i="1"/>
  <c r="E30" i="1"/>
  <c r="F30" i="1"/>
  <c r="B30" i="1"/>
  <c r="C23" i="1"/>
  <c r="D23" i="1"/>
  <c r="E23" i="1"/>
  <c r="F23" i="1"/>
  <c r="B23" i="1"/>
  <c r="C21" i="1"/>
  <c r="D21" i="1"/>
  <c r="E21" i="1"/>
  <c r="F21" i="1"/>
  <c r="B21" i="1"/>
  <c r="B16" i="1"/>
  <c r="C12" i="1"/>
  <c r="C13" i="1" s="1"/>
  <c r="D12" i="1"/>
  <c r="D13" i="1" s="1"/>
  <c r="E12" i="1"/>
  <c r="E13" i="1" s="1"/>
  <c r="F12" i="1"/>
  <c r="F13" i="1" s="1"/>
  <c r="M10" i="1" s="1"/>
  <c r="B12" i="1"/>
  <c r="B13" i="1" s="1"/>
  <c r="C7" i="1"/>
  <c r="D7" i="1"/>
  <c r="E7" i="1"/>
  <c r="F7" i="1"/>
  <c r="L7" i="1" s="1"/>
  <c r="B7" i="1"/>
  <c r="H112" i="1" l="1"/>
  <c r="L19" i="1"/>
  <c r="N95" i="1" l="1"/>
  <c r="N98" i="1" s="1"/>
  <c r="N106" i="1" s="1"/>
  <c r="N109" i="1" s="1"/>
  <c r="K108" i="1" s="1"/>
  <c r="K109" i="1" s="1"/>
  <c r="H111" i="1" s="1"/>
  <c r="H114" i="1" s="1"/>
  <c r="H116" i="1" s="1"/>
  <c r="H119" i="1" l="1"/>
  <c r="H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2"/>
        </ext>
      </extLst>
    </bk>
    <bk>
      <extLst>
        <ext uri="{3e2802c4-a4d2-4d8b-9148-e3be6c30e623}">
          <xlrd:rvb i="4"/>
        </ext>
      </extLst>
    </bk>
    <bk>
      <extLst>
        <ext uri="{3e2802c4-a4d2-4d8b-9148-e3be6c30e623}">
          <xlrd:rvb i="7"/>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<sst xmlns="http://schemas.openxmlformats.org/spreadsheetml/2006/main" count="232" uniqueCount="168">
  <si>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</si>
  <si>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</si>
  <si>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</si>
  <si>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</si>
  <si>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</si>
  <si>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</si>
  <si>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</si>
  <si>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</si>
  <si>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</si>
  <si>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</si>
  <si>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</si>
  <si>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</si>
  <si>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</si>
  <si>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</si>
  <si>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</si>
  <si>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</si>
  <si>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</si>
  <si>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</si>
  <si>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</si>
  <si>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</si>
  <si>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</si>
  <si>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</si>
  <si>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</si>
  <si>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</si>
  <si>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</si>
  <si>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</si>
  <si>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</si>
  <si>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</si>
  <si>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</si>
  <si>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</si>
  <si>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</si>
  <si>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</si>
  <si>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</si>
  <si>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</si>
  <si>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</si>
  <si>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</si>
  <si>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</si>
  <si>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</si>
  <si>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</si>
  <si>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</si>
  <si>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</si>
  <si>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</si>
  <si>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</si>
  <si>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</si>
  <si>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</si>
  <si>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</si>
  <si>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</si>
  <si>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</si>
  <si>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</si>
  <si>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</si>
  <si>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</si>
  <si>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</si>
  <si>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</si>
  <si>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</si>
  <si>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</si>
  <si>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</si>
  <si>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</si>
  <si>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</si>
  <si>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</si>
  <si>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</si>
  <si>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</si>
  <si>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</si>
  <si>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</si>
  <si>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</si>
  <si>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</si>
  <si>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</si>
  <si>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</si>
  <si>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</si>
  <si>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</si>
  <si>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</si>
  <si>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</si>
  <si>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</si>
  <si>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</si>
  <si>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</si>
  <si>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</si>
  <si>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</si>
  <si>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</si>
  <si>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</si>
  <si>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</si>
  <si>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</si>
  <si>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</si>
  <si>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</si>
  <si>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</si>
  <si>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</si>
  <si>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</si>
  <si>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</si>
  <si>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</si>
  <si>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</si>
  <si>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</si>
  <si>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</si>
  <si>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</si>
  <si>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</si>
  <si>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</si>
  <si>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</si>
  <si>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</si>
  <si>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</si>
  <si>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</si>
  <si>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</si>
  <si>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</si>
  <si>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</si>
  <si>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</si>
  <si>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</si>
  <si>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</si>
  <si>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</si>
  <si>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</si>
  <si>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</si>
  <si>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</si>
  <si>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</si>
  <si>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</si>
  <si>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</si>
  <si>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</si>
  <si>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</si>
  <si>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</si>
  <si>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</si>
  <si>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</si>
  <si>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</si>
  <si>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</si>
  <si>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</si>
  <si>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</si>
  <si>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</si>
  <si>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</si>
  <si>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</si>
  <si>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</si>
  <si>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</si>
  <si>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</si>
  <si>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</si>
  <si>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</si>
  <si>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</si>
  <si>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</si>
  <si>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</si>
  <si>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</si>
  <si>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</si>
  <si>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</si>
  <si>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</si>
  <si>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</si>
  <si>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</si>
  <si>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</si>
  <si>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</si>
  <si>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</si>
  <si>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</si>
  <si>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</si>
  <si>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</si>
  <si>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</si>
  <si>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</si>
  <si>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</si>
  <si>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</si>
  <si>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</si>
  <si>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</si>
  <si>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</si>
  <si>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</si>
  <si>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</si>
  <si>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</si>
  <si>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</si>
  <si>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</si>
  <si>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</si>
  <si>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</si>
  <si>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</si>
  <si>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 xml:space="preserve">Shares </t>
  </si>
  <si>
    <t>Forward P/S</t>
  </si>
  <si>
    <t>Forward P/E</t>
  </si>
  <si>
    <t>Forward P/FCF</t>
  </si>
  <si>
    <t>Dividend Yield</t>
  </si>
  <si>
    <t>Unlevered FCF Forecast</t>
  </si>
  <si>
    <t>Unlevered FCF</t>
  </si>
  <si>
    <t>Levered FCF</t>
  </si>
  <si>
    <t>5Y Fwd FCF CAGR</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</si>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</sst>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 \-"/>
    <numFmt numFmtId="165" formatCode="#.00%;\ \-#.00%;\ \-\ \-"/>
    <numFmt numFmtId="166" formatCode="#,##0.00_);\(#,##0.00\);\-\ \-"/>
    <numFmt numFmtId="167" formatCode="&quot;$&quot;#,##0"/>
    <numFmt numFmtId="168" formatCode="&quot;$&quot;#,##0.00"/>
    <numFmt numFmtId="169" formatCode="0.0"/>
    <numFmt numFmtId="170" formatCode="0.0%"/>
    <numFmt numFmtId="171" formatCode="_([$$-409]* #,##0.00_);_([$$-409]* \(#,##0.00\);_([$$-409]* &quot;-&quot;??_);_(@_)"/>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9" fontId="11" fillId="0" borderId="9" xfId="0" applyNumberFormat="1" applyFont="1" applyBorder="1" applyAlignment="1">
      <alignment horizontal="center"/>
    </xf>
    <xf numFmtId="169" fontId="11" fillId="0" borderId="6" xfId="0" applyNumberFormat="1" applyFont="1" applyBorder="1" applyAlignment="1">
      <alignment horizontal="center"/>
    </xf>
    <xf numFmtId="169"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0" fontId="1" fillId="0" borderId="0" xfId="0" applyFont="1" applyAlignment="1">
      <alignment indent="1"/>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10" fontId="11" fillId="0" borderId="5" xfId="0" applyNumberFormat="1" applyFont="1" applyBorder="1" applyAlignment="1">
      <alignment horizontal="center"/>
    </xf>
    <xf numFmtId="165" fontId="10" fillId="0" borderId="10" xfId="0" applyNumberFormat="1" applyFont="1" applyBorder="1"/>
    <xf numFmtId="0" fontId="17" fillId="3" borderId="6" xfId="0" applyFont="1" applyFill="1" applyBorder="1" applyAlignment="1">
      <alignment horizontal="center" vertical="center" wrapText="1"/>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0" fontId="0" fillId="4" borderId="0" xfId="0" applyFill="1" applyAlignment="1">
      <alignment horizontal="center"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0" fontId="0" fillId="4" borderId="0" xfId="0" applyFill="1" applyAlignment="1">
      <alignment vertical="center"/>
    </xf>
    <xf numFmtId="9" fontId="16" fillId="4" borderId="0" xfId="0" applyNumberFormat="1" applyFont="1" applyFill="1" applyAlignment="1">
      <alignment vertical="center" wrapText="1"/>
    </xf>
    <xf numFmtId="164" fontId="1" fillId="7" borderId="0" xfId="0" applyNumberFormat="1" applyFont="1" applyFill="1" applyAlignment="1">
      <alignment vertical="center"/>
    </xf>
    <xf numFmtId="0" fontId="0" fillId="4" borderId="0" xfId="0" applyFill="1" applyAlignment="1">
      <alignment horizontal="left" vertical="center"/>
    </xf>
    <xf numFmtId="0" fontId="16" fillId="7" borderId="0" xfId="0" applyFont="1" applyFill="1" applyAlignment="1">
      <alignment vertical="center" wrapText="1"/>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8"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3" fillId="3" borderId="7" xfId="0" applyFont="1" applyFill="1" applyBorder="1" applyAlignment="1">
      <alignment horizontal="center" vertical="center" wrapText="1"/>
    </xf>
    <xf numFmtId="10" fontId="11" fillId="4" borderId="0" xfId="0" applyNumberFormat="1" applyFont="1" applyFill="1"/>
    <xf numFmtId="171" fontId="0" fillId="0" borderId="0" xfId="0" applyNumberFormat="1"/>
    <xf numFmtId="165" fontId="10" fillId="4" borderId="0" xfId="0" applyNumberFormat="1" applyFont="1" applyFill="1" applyAlignment="1">
      <alignment vertical="center"/>
    </xf>
    <xf numFmtId="0" fontId="0" fillId="7" borderId="0" xfId="0" applyFill="1" applyAlignment="1">
      <alignmen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165" fontId="11" fillId="4" borderId="0" xfId="0" applyNumberFormat="1" applyFont="1" applyFill="1" applyAlignment="1">
      <alignment horizontal="center" vertical="center"/>
    </xf>
    <xf numFmtId="0" fontId="1" fillId="5" borderId="0" xfId="0" applyFont="1" applyFill="1" applyAlignment="1">
      <alignment horizontal="center" vertic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Constellation Software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703150912106128E-2"/>
          <c:y val="0.15074000608835089"/>
          <c:w val="0.82767495854063022"/>
          <c:h val="0.6179058108849631"/>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1'!$B$1:$K$1</c:f>
              <c:numCache>
                <c:formatCode>General</c:formatCode>
                <c:ptCount val="10"/>
                <c:pt idx="0">
                  <c:v>2018</c:v>
                </c:pt>
                <c:pt idx="1">
                  <c:v>2019</c:v>
                </c:pt>
                <c:pt idx="2">
                  <c:v>2020</c:v>
                </c:pt>
                <c:pt idx="3">
                  <c:v>2021</c:v>
                </c:pt>
                <c:pt idx="4">
                  <c:v>2022</c:v>
                </c:pt>
                <c:pt idx="5">
                  <c:v>2023</c:v>
                </c:pt>
                <c:pt idx="6">
                  <c:v>2024</c:v>
                </c:pt>
                <c:pt idx="7">
                  <c:v>2025</c:v>
                </c:pt>
                <c:pt idx="8">
                  <c:v>2026</c:v>
                </c:pt>
                <c:pt idx="9">
                  <c:v>2027</c:v>
                </c:pt>
              </c:numCache>
            </c:numRef>
          </c:cat>
          <c:val>
            <c:numRef>
              <c:f>'Sheet 1'!$B$3:$K$3</c:f>
              <c:numCache>
                <c:formatCode>#,###,,;\(#,###,,\);\ \-\ \-</c:formatCode>
                <c:ptCount val="10"/>
                <c:pt idx="0">
                  <c:v>3736000000</c:v>
                </c:pt>
                <c:pt idx="1">
                  <c:v>4029000000</c:v>
                </c:pt>
                <c:pt idx="2">
                  <c:v>4373000000</c:v>
                </c:pt>
                <c:pt idx="3">
                  <c:v>5106000000</c:v>
                </c:pt>
                <c:pt idx="4">
                  <c:v>6622000000</c:v>
                </c:pt>
                <c:pt idx="5">
                  <c:v>8045000000</c:v>
                </c:pt>
                <c:pt idx="6">
                  <c:v>9316000000</c:v>
                </c:pt>
                <c:pt idx="7">
                  <c:v>10250000000</c:v>
                </c:pt>
                <c:pt idx="8">
                  <c:v>11200000000</c:v>
                </c:pt>
                <c:pt idx="9">
                  <c:v>12000000000</c:v>
                </c:pt>
              </c:numCache>
            </c:numRef>
          </c:val>
          <c:extLst>
            <c:ext xmlns:c16="http://schemas.microsoft.com/office/drawing/2014/chart" uri="{C3380CC4-5D6E-409C-BE32-E72D297353CC}">
              <c16:uniqueId val="{00000000-D8E3-F94B-9E1D-95B71EDE954E}"/>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1'!$B$1:$K$1</c:f>
              <c:numCache>
                <c:formatCode>General</c:formatCode>
                <c:ptCount val="10"/>
                <c:pt idx="0">
                  <c:v>2018</c:v>
                </c:pt>
                <c:pt idx="1">
                  <c:v>2019</c:v>
                </c:pt>
                <c:pt idx="2">
                  <c:v>2020</c:v>
                </c:pt>
                <c:pt idx="3">
                  <c:v>2021</c:v>
                </c:pt>
                <c:pt idx="4">
                  <c:v>2022</c:v>
                </c:pt>
                <c:pt idx="5">
                  <c:v>2023</c:v>
                </c:pt>
                <c:pt idx="6">
                  <c:v>2024</c:v>
                </c:pt>
                <c:pt idx="7">
                  <c:v>2025</c:v>
                </c:pt>
                <c:pt idx="8">
                  <c:v>2026</c:v>
                </c:pt>
                <c:pt idx="9">
                  <c:v>2027</c:v>
                </c:pt>
              </c:numCache>
            </c:numRef>
          </c:cat>
          <c:val>
            <c:numRef>
              <c:f>'Sheet 1'!$B$28:$K$28</c:f>
              <c:numCache>
                <c:formatCode>#,###,,;\(#,###,,\);\ \-\ \-</c:formatCode>
                <c:ptCount val="10"/>
                <c:pt idx="0">
                  <c:v>960000000</c:v>
                </c:pt>
                <c:pt idx="1">
                  <c:v>1094000000</c:v>
                </c:pt>
                <c:pt idx="2">
                  <c:v>1187000000</c:v>
                </c:pt>
                <c:pt idx="3">
                  <c:v>1412000000</c:v>
                </c:pt>
                <c:pt idx="4">
                  <c:v>1532000000</c:v>
                </c:pt>
                <c:pt idx="5">
                  <c:v>1775600000</c:v>
                </c:pt>
                <c:pt idx="6">
                  <c:v>2021800000</c:v>
                </c:pt>
                <c:pt idx="7">
                  <c:v>2200000000</c:v>
                </c:pt>
                <c:pt idx="8">
                  <c:v>2400000000</c:v>
                </c:pt>
                <c:pt idx="9">
                  <c:v>2600000000</c:v>
                </c:pt>
              </c:numCache>
            </c:numRef>
          </c:val>
          <c:extLst>
            <c:ext xmlns:c16="http://schemas.microsoft.com/office/drawing/2014/chart" uri="{C3380CC4-5D6E-409C-BE32-E72D297353CC}">
              <c16:uniqueId val="{00000001-D8E3-F94B-9E1D-95B71EDE954E}"/>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1'!$B$1:$K$1</c:f>
              <c:numCache>
                <c:formatCode>General</c:formatCode>
                <c:ptCount val="10"/>
                <c:pt idx="0">
                  <c:v>2018</c:v>
                </c:pt>
                <c:pt idx="1">
                  <c:v>2019</c:v>
                </c:pt>
                <c:pt idx="2">
                  <c:v>2020</c:v>
                </c:pt>
                <c:pt idx="3">
                  <c:v>2021</c:v>
                </c:pt>
                <c:pt idx="4">
                  <c:v>2022</c:v>
                </c:pt>
                <c:pt idx="5">
                  <c:v>2023</c:v>
                </c:pt>
                <c:pt idx="6">
                  <c:v>2024</c:v>
                </c:pt>
                <c:pt idx="7">
                  <c:v>2025</c:v>
                </c:pt>
                <c:pt idx="8">
                  <c:v>2026</c:v>
                </c:pt>
                <c:pt idx="9">
                  <c:v>2027</c:v>
                </c:pt>
              </c:numCache>
            </c:numRef>
          </c:cat>
          <c:val>
            <c:numRef>
              <c:f>'Sheet 1'!$B$107:$K$107</c:f>
              <c:numCache>
                <c:formatCode>#,###,,;\(#,###,,\);\ \-\ \-</c:formatCode>
                <c:ptCount val="10"/>
                <c:pt idx="0">
                  <c:v>636700000</c:v>
                </c:pt>
                <c:pt idx="1">
                  <c:v>733000000</c:v>
                </c:pt>
                <c:pt idx="2">
                  <c:v>1161000000</c:v>
                </c:pt>
                <c:pt idx="3">
                  <c:v>1271000000</c:v>
                </c:pt>
                <c:pt idx="4">
                  <c:v>1330000000</c:v>
                </c:pt>
                <c:pt idx="5">
                  <c:v>2140000000</c:v>
                </c:pt>
                <c:pt idx="6">
                  <c:v>2387000000</c:v>
                </c:pt>
                <c:pt idx="7">
                  <c:v>2626314942.0352082</c:v>
                </c:pt>
                <c:pt idx="8">
                  <c:v>2869729497.6384716</c:v>
                </c:pt>
                <c:pt idx="9">
                  <c:v>3074710176.0412197</c:v>
                </c:pt>
              </c:numCache>
            </c:numRef>
          </c:val>
          <c:extLst>
            <c:ext xmlns:c16="http://schemas.microsoft.com/office/drawing/2014/chart" uri="{C3380CC4-5D6E-409C-BE32-E72D297353CC}">
              <c16:uniqueId val="{00000002-D8E3-F94B-9E1D-95B71EDE954E}"/>
            </c:ext>
          </c:extLst>
        </c:ser>
        <c:dLbls>
          <c:showLegendKey val="0"/>
          <c:showVal val="0"/>
          <c:showCatName val="0"/>
          <c:showSerName val="0"/>
          <c:showPercent val="0"/>
          <c:showBubbleSize val="0"/>
        </c:dLbls>
        <c:gapWidth val="150"/>
        <c:overlap val="100"/>
        <c:axId val="1660004144"/>
        <c:axId val="1709882496"/>
      </c:barChart>
      <c:catAx>
        <c:axId val="166000414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709882496"/>
        <c:crosses val="autoZero"/>
        <c:auto val="1"/>
        <c:lblAlgn val="ctr"/>
        <c:lblOffset val="100"/>
        <c:noMultiLvlLbl val="0"/>
      </c:catAx>
      <c:valAx>
        <c:axId val="170988249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60004144"/>
        <c:crosses val="autoZero"/>
        <c:crossBetween val="between"/>
      </c:valAx>
      <c:spPr>
        <a:noFill/>
        <a:ln>
          <a:noFill/>
        </a:ln>
        <a:effectLst/>
      </c:spPr>
    </c:plotArea>
    <c:legend>
      <c:legendPos val="b"/>
      <c:layout>
        <c:manualLayout>
          <c:xMode val="edge"/>
          <c:yMode val="edge"/>
          <c:x val="0.34258941512907903"/>
          <c:y val="0.88866959799888801"/>
          <c:w val="0.31482106527728809"/>
          <c:h val="6.30965953709143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31749</xdr:colOff>
      <xdr:row>109</xdr:row>
      <xdr:rowOff>33338</xdr:rowOff>
    </xdr:from>
    <xdr:to>
      <xdr:col>13</xdr:col>
      <xdr:colOff>1587499</xdr:colOff>
      <xdr:row>126</xdr:row>
      <xdr:rowOff>190500</xdr:rowOff>
    </xdr:to>
    <xdr:graphicFrame macro="">
      <xdr:nvGraphicFramePr>
        <xdr:cNvPr id="3" name="Chart 2">
          <a:extLst>
            <a:ext uri="{FF2B5EF4-FFF2-40B4-BE49-F238E27FC236}">
              <a16:creationId xmlns:a16="http://schemas.microsoft.com/office/drawing/2014/main" id="{EC9B4B15-621B-6BA0-14EA-849F770667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est Quality"/>
      <sheetName val="Growth"/>
      <sheetName val="Value"/>
      <sheetName val="Watchlist"/>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
  <rv s="0">
    <v>https://www.bing.com/financeapi/forcetrigger?t=aaxn6h&amp;q=XTSE%3aCSU&amp;form=skydnc</v>
    <v>Learn more on Bing</v>
  </rv>
  <rv s="1">
    <v>0</v>
    <v>Constellation Software Inc. (XTSE:CSU)</v>
    <v>2</v>
    <v>3</v>
    <v>Finance</v>
    <v>4</v>
    <v>en-US</v>
    <v>aaxn6h</v>
    <v>268435456</v>
    <v>1</v>
    <v>Powered by Refinitiv</v>
    <v>2905.4</v>
    <v>1827.33</v>
    <v>0.83830000000000005</v>
    <v>-42.2</v>
    <v>-1.5547999999999999E-2</v>
    <v>0</v>
    <v>0</v>
    <v>CAD</v>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v>45000</v>
    <v>Toronto Stock Exchange</v>
    <v>XTSE</v>
    <v>XTSE</v>
    <v>#1200 - 20 Adelaide Street East, TORONTO, ON, M5C 2T6 CA</v>
    <v>2713.56</v>
    <v>Software &amp; IT Services</v>
    <v>Stock</v>
    <v>45226.833333333336</v>
    <v>0</v>
    <v>2667.26</v>
    <v>56622500000</v>
    <v>Constellation Software Inc.</v>
    <v>Constellation Software Inc.</v>
    <v>2713</v>
    <v>88.2</v>
    <v>2714.14</v>
    <v>2671.94</v>
    <v>2671.94</v>
    <v>21191530</v>
    <v>CSU</v>
    <v>Constellation Software Inc. (XTSE:CSU)</v>
    <v>27905</v>
    <v>24950</v>
    <v>2002</v>
  </rv>
  <rv s="2">
    <v>1</v>
  </rv>
  <rv s="3">
    <v>5</v>
    <v>CAD/USD</v>
    <v>6</v>
    <v>7</v>
    <v>Finance</v>
    <v>8</v>
    <v>en-US</v>
    <v>av3wnm</v>
    <v>268435456</v>
    <v>1</v>
    <v>Powered by Refinitiv</v>
    <v>0.76380000000000003</v>
    <v>0.72030000000000005</v>
    <v>4.0000000000000002E-4</v>
    <v>5.5460000000000004E-4</v>
    <v>USD</v>
    <v>CAD</v>
    <v>0.72199999999999998</v>
    <v>Currency Pair</v>
    <v>45229.288773148146</v>
    <v>0.72060000000000002</v>
    <v>Canadian Dollar/US Dollar FX Cross Rate</v>
    <v>0.72109999999999996</v>
    <v>0.72119999999999995</v>
    <v>0.72160000000000002</v>
    <v>CADUSD</v>
    <v>CAD/USD</v>
  </rv>
  <rv s="2">
    <v>3</v>
  </rv>
  <rv s="0">
    <v>https://www.bing.com/financeapi/forcetrigger?t=a2cqw7&amp;q=OTCM%3aCNSWF&amp;form=skydnc</v>
    <v>Learn more on Bing</v>
  </rv>
  <rv s="4">
    <v>9</v>
    <v>Constellation Software Inc. (OTCM:CNSWF)</v>
    <v>2</v>
    <v>10</v>
    <v>Finance</v>
    <v>11</v>
    <v>en-US</v>
    <v>a2cqw7</v>
    <v>268435456</v>
    <v>1</v>
    <v>Powered by Refinitiv</v>
    <v>2198.98</v>
    <v>1360</v>
    <v>0.83830000000000005</v>
    <v>-39.090000000000003</v>
    <v>-1.9902E-2</v>
    <v>USD</v>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v>45000</v>
    <v>OTC Markets</v>
    <v>OTCM</v>
    <v>OTCM</v>
    <v>#1200 - 20 Adelaide Street East, TORONTO, ON, M5C 2T6 CA</v>
    <v>1981</v>
    <v>Software &amp; IT Services</v>
    <v>Stock</v>
    <v>45226.83324021953</v>
    <v>5</v>
    <v>1922.3</v>
    <v>56622500000</v>
    <v>Constellation Software Inc.</v>
    <v>Constellation Software Inc.</v>
    <v>1950</v>
    <v>84.110699999999994</v>
    <v>1964.09</v>
    <v>1925</v>
    <v>21191530</v>
    <v>CNSWF</v>
    <v>Constellation Software Inc. (OTCM:CNSWF)</v>
    <v>371</v>
    <v>24950</v>
    <v>2002</v>
  </rv>
  <rv s="2">
    <v>6</v>
  </rv>
</rvData>
</file>

<file path=xl/richData/rdrichvaluestructure.xml><?xml version="1.0" encoding="utf-8"?>
<rvStructures xmlns="http://schemas.microsoft.com/office/spreadsheetml/2017/richdata" count="5">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12">
    <spb s="0">
      <v>0</v>
      <v>Name</v>
      <v>LearnMoreOnLink</v>
    </spb>
    <spb s="1">
      <v>0</v>
      <v>0</v>
      <v>0</v>
    </spb>
    <spb s="2">
      <v>1</v>
      <v>1</v>
      <v>1</v>
      <v>1</v>
    </spb>
    <spb s="3">
      <v>1</v>
      <v>2</v>
      <v>2</v>
      <v>1</v>
      <v>3</v>
      <v>1</v>
      <v>1</v>
      <v>1</v>
      <v>4</v>
      <v>4</v>
      <v>5</v>
      <v>6</v>
      <v>1</v>
      <v>1</v>
      <v>1</v>
      <v>4</v>
      <v>7</v>
      <v>8</v>
      <v>9</v>
      <v>4</v>
      <v>1</v>
      <v>1</v>
      <v>5</v>
    </spb>
    <spb s="4">
      <v>at close</v>
      <v>from previous close</v>
      <v>from previous close</v>
      <v>GMT</v>
      <v>Delayed 20 minutes</v>
      <v>from close</v>
      <v>from close</v>
    </spb>
    <spb s="5">
      <v>1</v>
      <v>Name</v>
    </spb>
    <spb s="6">
      <v>1</v>
      <v>1</v>
    </spb>
    <spb s="7">
      <v>10</v>
      <v>10</v>
      <v>3</v>
      <v>10</v>
      <v>10</v>
      <v>10</v>
      <v>5</v>
      <v>10</v>
      <v>10</v>
      <v>10</v>
      <v>7</v>
      <v>9</v>
    </spb>
    <spb s="8">
      <v>GMT</v>
    </spb>
    <spb s="0">
      <v>2</v>
      <v>Name</v>
      <v>LearnMoreOnLink</v>
    </spb>
    <spb s="9">
      <v>10</v>
      <v>2</v>
      <v>2</v>
      <v>10</v>
      <v>3</v>
      <v>10</v>
      <v>10</v>
      <v>10</v>
      <v>4</v>
      <v>4</v>
      <v>5</v>
      <v>6</v>
      <v>10</v>
      <v>10</v>
      <v>10</v>
      <v>4</v>
      <v>7</v>
      <v>8</v>
      <v>9</v>
      <v>4</v>
    </spb>
    <spb s="10">
      <v>Delayed 15 minutes</v>
      <v>from previous close</v>
      <v>from previous close</v>
      <v>GMT</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_([$$-en-CA]* #,##0.00_);_([$$-en-CA]* (#,##0.00);_([$$-en-CA]* "-"??_);_(@_)</rpv>
    </rSty>
    <rSty dxfid="5">
      <rpv i="0">#,##0.00</rpv>
    </rSty>
    <rSty>
      <rpv i="1">1</rpv>
    </rSty>
    <rSty dxfid="4">
      <rpv i="0">#,##0</rpv>
    </rSty>
    <rSty dxfid="3"/>
    <rSty dxfid="1">
      <rpv i="0">_([$$-en-CA]* #,##0_);_([$$-en-CA]* (#,##0);_([$$-en-CA]* "-"_);_(@_)</rpv>
    </rSty>
    <rSty dxfid="2"/>
    <rSty dxfid="6">
      <rpv i="0">0</rpv>
    </rSty>
    <rSty dxfid="0">
      <rpv i="0">0.00</rpv>
    </rSty>
    <rSty dxfid="1">
      <rpv i="0">_([$$-en-US]* #,##0.00_);_([$$-en-US]* (#,##0.00);_([$$-en-US]*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3" Type="http://schemas.openxmlformats.org/officeDocument/2006/relationships/hyperlink" Target="https://finbox.com/OTCPK:CNSW.F/explorer/fcf_unlev_proj" TargetMode="External"/><Relationship Id="rId3"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7"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2" Type="http://schemas.openxmlformats.org/officeDocument/2006/relationships/hyperlink" Target="https://finbox.com/TSX:CSU/models/dcf-revenue-exit-5yr" TargetMode="External"/><Relationship Id="rId2"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 Type="http://schemas.openxmlformats.org/officeDocument/2006/relationships/hyperlink" Target="https://roic.ai/company/CSU.TO" TargetMode="External"/><Relationship Id="rId6"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1" Type="http://schemas.openxmlformats.org/officeDocument/2006/relationships/hyperlink" Target="https://www.csisoftware.com/docs/default-source/press-releases/csi-financial-statements-q422---final.pdf?sfvrsn=dbaec55_3/%20CSI-Financial-Statements-Q422---Final" TargetMode="External"/><Relationship Id="rId5"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0" Type="http://schemas.openxmlformats.org/officeDocument/2006/relationships/hyperlink" Target="https://www.csisoftware.com/docs/default-source/press-releases/csi-financial-statements-q422---final.pdf?sfvrsn=dbaec55_3/%20CSI-Financial-Statements-Q422---Final" TargetMode="External"/><Relationship Id="rId4"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9"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C97" activePane="bottomRight" state="frozen"/>
      <selection pane="topRight"/>
      <selection pane="bottomLeft"/>
      <selection pane="bottomRight" activeCell="E121" sqref="E121"/>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2018</v>
      </c>
      <c r="C1" s="8">
        <v>2019</v>
      </c>
      <c r="D1" s="8">
        <v>2020</v>
      </c>
      <c r="E1" s="8">
        <v>2021</v>
      </c>
      <c r="F1" s="8">
        <v>2022</v>
      </c>
      <c r="G1" s="24">
        <v>2023</v>
      </c>
      <c r="H1" s="24">
        <v>2024</v>
      </c>
      <c r="I1" s="24">
        <v>2025</v>
      </c>
      <c r="J1" s="24">
        <v>2026</v>
      </c>
      <c r="K1" s="24">
        <v>2027</v>
      </c>
    </row>
    <row r="2" spans="1:38" ht="21" x14ac:dyDescent="0.25">
      <c r="A2" s="4" t="s">
        <v>0</v>
      </c>
      <c r="B2" s="9" t="s">
        <v>90</v>
      </c>
      <c r="C2" s="9" t="s">
        <v>90</v>
      </c>
      <c r="D2" s="9" t="s">
        <v>90</v>
      </c>
      <c r="E2" s="9" t="s">
        <v>90</v>
      </c>
      <c r="F2" s="9" t="s">
        <v>90</v>
      </c>
      <c r="G2" s="9" t="s">
        <v>90</v>
      </c>
      <c r="H2" s="9" t="s">
        <v>90</v>
      </c>
      <c r="I2" s="9" t="s">
        <v>90</v>
      </c>
      <c r="J2" s="9"/>
      <c r="K2" s="9"/>
      <c r="L2" s="9"/>
      <c r="M2" s="9"/>
      <c r="N2" s="9"/>
      <c r="O2" s="9"/>
    </row>
    <row r="3" spans="1:38" ht="40" x14ac:dyDescent="0.25">
      <c r="A3" s="5" t="s">
        <v>1</v>
      </c>
      <c r="B3" s="1">
        <v>3736000000</v>
      </c>
      <c r="C3" s="1">
        <v>4029000000</v>
      </c>
      <c r="D3" s="1">
        <v>4373000000</v>
      </c>
      <c r="E3" s="1">
        <v>5106000000</v>
      </c>
      <c r="F3" s="1">
        <v>6622000000</v>
      </c>
      <c r="G3" s="25">
        <v>8045000000</v>
      </c>
      <c r="H3" s="25">
        <v>9316000000</v>
      </c>
      <c r="I3" s="25">
        <v>10250000000</v>
      </c>
      <c r="J3" s="25">
        <v>11200000000</v>
      </c>
      <c r="K3" s="25">
        <v>12000000000</v>
      </c>
      <c r="L3" s="19" t="s">
        <v>108</v>
      </c>
      <c r="M3" s="20" t="s">
        <v>109</v>
      </c>
      <c r="N3" s="20" t="s">
        <v>110</v>
      </c>
      <c r="O3" s="20" t="s">
        <v>111</v>
      </c>
    </row>
    <row r="4" spans="1:38" ht="19" x14ac:dyDescent="0.25">
      <c r="A4" s="14" t="s">
        <v>93</v>
      </c>
      <c r="B4" s="1"/>
      <c r="C4" s="15">
        <f>(C3/B3)-1</f>
        <v>7.8426124197002123E-2</v>
      </c>
      <c r="D4" s="15">
        <f>(D3/C3)-1</f>
        <v>8.5380987838173272E-2</v>
      </c>
      <c r="E4" s="15">
        <f>(E3/D3)-1</f>
        <v>0.16761948319231657</v>
      </c>
      <c r="F4" s="15">
        <f t="shared" ref="F4:K4" si="0">(F3/E3)-1</f>
        <v>0.29690560125342724</v>
      </c>
      <c r="G4" s="16">
        <f t="shared" si="0"/>
        <v>0.21488976140138938</v>
      </c>
      <c r="H4" s="16">
        <f t="shared" si="0"/>
        <v>0.15798632691112502</v>
      </c>
      <c r="I4" s="16">
        <f t="shared" si="0"/>
        <v>0.10025762129669391</v>
      </c>
      <c r="J4" s="16">
        <f t="shared" si="0"/>
        <v>9.2682926829268375E-2</v>
      </c>
      <c r="K4" s="16">
        <f t="shared" si="0"/>
        <v>7.1428571428571397E-2</v>
      </c>
      <c r="L4" s="17">
        <f>(F4+E4+D4)/3</f>
        <v>0.18330202409463903</v>
      </c>
      <c r="M4" s="17">
        <f>(F20+E20+D20)/3</f>
        <v>0.12713714877109616</v>
      </c>
      <c r="N4" s="17">
        <f>(F29+E29+D29)/3</f>
        <v>0.11984949089026846</v>
      </c>
      <c r="O4" s="17">
        <f>(F106+E106+D106)/3</f>
        <v>0.24168927461786413</v>
      </c>
      <c r="S4" s="16"/>
      <c r="T4" s="16"/>
      <c r="U4" s="16"/>
      <c r="V4" s="16"/>
      <c r="W4" s="16"/>
      <c r="X4" s="16"/>
      <c r="Y4" s="16"/>
      <c r="Z4" s="16"/>
      <c r="AA4" s="16"/>
      <c r="AB4" s="16"/>
      <c r="AC4" s="16"/>
      <c r="AD4" s="16"/>
      <c r="AE4" s="16"/>
      <c r="AF4" s="16"/>
      <c r="AI4" s="18"/>
      <c r="AJ4" s="18"/>
      <c r="AK4" s="18"/>
      <c r="AL4" s="18"/>
    </row>
    <row r="5" spans="1:38" ht="19" x14ac:dyDescent="0.25">
      <c r="A5" s="5" t="s">
        <v>2</v>
      </c>
      <c r="B5" s="1">
        <v>1701000000</v>
      </c>
      <c r="C5" s="1">
        <v>1849000000</v>
      </c>
      <c r="D5" s="1">
        <v>1994000000</v>
      </c>
      <c r="E5" s="1">
        <v>2340000000</v>
      </c>
      <c r="F5" s="1">
        <v>2797000000</v>
      </c>
    </row>
    <row r="6" spans="1:38" ht="20" x14ac:dyDescent="0.25">
      <c r="A6" s="6" t="s">
        <v>3</v>
      </c>
      <c r="B6" s="10">
        <v>2035000000</v>
      </c>
      <c r="C6" s="10">
        <v>2180000000</v>
      </c>
      <c r="D6" s="10">
        <v>2379000000</v>
      </c>
      <c r="E6" s="10">
        <v>2766000000</v>
      </c>
      <c r="F6" s="10">
        <v>3825000000</v>
      </c>
      <c r="L6" s="19" t="s">
        <v>112</v>
      </c>
      <c r="M6" s="69" t="s">
        <v>113</v>
      </c>
      <c r="N6" s="69" t="s">
        <v>114</v>
      </c>
      <c r="O6" s="69" t="s">
        <v>115</v>
      </c>
    </row>
    <row r="7" spans="1:38" ht="19" x14ac:dyDescent="0.25">
      <c r="A7" s="5" t="s">
        <v>4</v>
      </c>
      <c r="B7" s="2">
        <f>B6/B3</f>
        <v>0.54470021413276226</v>
      </c>
      <c r="C7" s="2">
        <f t="shared" ref="C7:F7" si="1">C6/C3</f>
        <v>0.54107719036981883</v>
      </c>
      <c r="D7" s="2">
        <f t="shared" si="1"/>
        <v>0.54402012348502171</v>
      </c>
      <c r="E7" s="2">
        <f t="shared" si="1"/>
        <v>0.5417156286721504</v>
      </c>
      <c r="F7" s="2">
        <f t="shared" si="1"/>
        <v>0.57762005436424047</v>
      </c>
      <c r="L7" s="17">
        <f>F7</f>
        <v>0.57762005436424047</v>
      </c>
      <c r="M7" s="21">
        <f>G21</f>
        <v>0.38175777710661435</v>
      </c>
      <c r="N7" s="21">
        <f>G30</f>
        <v>0.22070851460534494</v>
      </c>
      <c r="O7" s="21">
        <f>G107/G3</f>
        <v>0.26600372902423863</v>
      </c>
    </row>
    <row r="8" spans="1:38" ht="19" x14ac:dyDescent="0.25">
      <c r="A8" s="5" t="s">
        <v>5</v>
      </c>
      <c r="B8" s="1">
        <v>133000000</v>
      </c>
      <c r="C8" s="1">
        <v>142000000</v>
      </c>
      <c r="D8" s="1">
        <v>153000000</v>
      </c>
      <c r="E8" s="1">
        <v>167000000</v>
      </c>
      <c r="F8" s="1">
        <v>223000000</v>
      </c>
    </row>
    <row r="9" spans="1:38" ht="19" customHeight="1" x14ac:dyDescent="0.25">
      <c r="A9" s="14" t="s">
        <v>94</v>
      </c>
      <c r="B9" s="15">
        <f>B8/B3</f>
        <v>3.5599571734475373E-2</v>
      </c>
      <c r="C9" s="15">
        <f t="shared" ref="C9:F9" si="2">C8/C3</f>
        <v>3.5244477537850587E-2</v>
      </c>
      <c r="D9" s="15">
        <f t="shared" si="2"/>
        <v>3.4987422821861423E-2</v>
      </c>
      <c r="E9" s="15">
        <f t="shared" si="2"/>
        <v>3.2706619663141402E-2</v>
      </c>
      <c r="F9" s="15">
        <f t="shared" si="2"/>
        <v>3.3675626698882515E-2</v>
      </c>
      <c r="G9" s="15"/>
      <c r="H9" s="15"/>
      <c r="L9" s="19" t="s">
        <v>95</v>
      </c>
      <c r="M9" s="20" t="s">
        <v>96</v>
      </c>
      <c r="N9" s="20" t="s">
        <v>97</v>
      </c>
      <c r="O9" s="20" t="s">
        <v>98</v>
      </c>
    </row>
    <row r="10" spans="1:38" ht="19" x14ac:dyDescent="0.25">
      <c r="A10" s="5" t="s">
        <v>6</v>
      </c>
      <c r="B10" s="1">
        <v>473000000</v>
      </c>
      <c r="C10" s="1">
        <v>505000000</v>
      </c>
      <c r="D10" s="1">
        <v>532000000</v>
      </c>
      <c r="E10" s="1">
        <v>574000000</v>
      </c>
      <c r="F10" s="1">
        <v>702000000</v>
      </c>
      <c r="L10" s="17">
        <f>F9</f>
        <v>3.3675626698882515E-2</v>
      </c>
      <c r="M10" s="21">
        <f>F13</f>
        <v>0.19420114768951979</v>
      </c>
      <c r="N10" s="21">
        <f>F80</f>
        <v>0</v>
      </c>
      <c r="O10" s="21">
        <f>F89</f>
        <v>6.1914829356689823E-3</v>
      </c>
    </row>
    <row r="11" spans="1:38" ht="19" x14ac:dyDescent="0.25">
      <c r="A11" s="5" t="s">
        <v>7</v>
      </c>
      <c r="B11" s="1">
        <v>223000000</v>
      </c>
      <c r="C11" s="1">
        <v>234000000</v>
      </c>
      <c r="D11" s="1">
        <v>245000000</v>
      </c>
      <c r="E11" s="1">
        <v>256000000</v>
      </c>
      <c r="F11" s="1">
        <v>361000000</v>
      </c>
    </row>
    <row r="12" spans="1:38" ht="20" x14ac:dyDescent="0.25">
      <c r="A12" s="5" t="s">
        <v>8</v>
      </c>
      <c r="B12" s="1">
        <f>B8+B10+B11</f>
        <v>829000000</v>
      </c>
      <c r="C12" s="1">
        <f t="shared" ref="C12:F12" si="3">C8+C10+C11</f>
        <v>881000000</v>
      </c>
      <c r="D12" s="1">
        <f t="shared" si="3"/>
        <v>930000000</v>
      </c>
      <c r="E12" s="1">
        <f t="shared" si="3"/>
        <v>997000000</v>
      </c>
      <c r="F12" s="1">
        <f t="shared" si="3"/>
        <v>1286000000</v>
      </c>
      <c r="L12" s="19" t="s">
        <v>116</v>
      </c>
      <c r="M12" s="20" t="s">
        <v>117</v>
      </c>
      <c r="N12" s="20" t="s">
        <v>118</v>
      </c>
      <c r="O12" s="20" t="s">
        <v>119</v>
      </c>
    </row>
    <row r="13" spans="1:38" ht="19" x14ac:dyDescent="0.25">
      <c r="A13" s="14" t="s">
        <v>99</v>
      </c>
      <c r="B13" s="15">
        <f>B12/B3</f>
        <v>0.22189507494646682</v>
      </c>
      <c r="C13" s="15">
        <f t="shared" ref="C13:F13" si="4">C12/C3</f>
        <v>0.21866468106229833</v>
      </c>
      <c r="D13" s="15">
        <f t="shared" si="4"/>
        <v>0.21266864852504003</v>
      </c>
      <c r="E13" s="15">
        <f t="shared" si="4"/>
        <v>0.19526047786917353</v>
      </c>
      <c r="F13" s="15">
        <f t="shared" si="4"/>
        <v>0.19420114768951979</v>
      </c>
      <c r="G13" s="15"/>
      <c r="H13" s="15"/>
      <c r="L13" s="17">
        <f>F28/F72</f>
        <v>0.79255043973098815</v>
      </c>
      <c r="M13" s="21">
        <f>F28/F54</f>
        <v>0.19436691195128139</v>
      </c>
      <c r="N13" s="21">
        <f>F22/(F72+F56+F61)</f>
        <v>0.61547310900201324</v>
      </c>
      <c r="O13" s="22">
        <f>F67/F72</f>
        <v>3.0775995861355407</v>
      </c>
    </row>
    <row r="14" spans="1:38" ht="19" x14ac:dyDescent="0.25">
      <c r="A14" s="5" t="s">
        <v>9</v>
      </c>
      <c r="B14" s="1">
        <v>13000000</v>
      </c>
      <c r="C14" s="1">
        <v>14000000</v>
      </c>
      <c r="D14" s="1">
        <v>15000000</v>
      </c>
      <c r="E14" s="1">
        <v>16000000</v>
      </c>
      <c r="F14" s="1">
        <v>10000000</v>
      </c>
    </row>
    <row r="15" spans="1:38" ht="20" x14ac:dyDescent="0.25">
      <c r="A15" s="5" t="s">
        <v>10</v>
      </c>
      <c r="B15" s="1">
        <v>2240000000</v>
      </c>
      <c r="C15" s="1">
        <v>2331000000</v>
      </c>
      <c r="D15" s="1">
        <v>2404000000</v>
      </c>
      <c r="E15" s="1">
        <v>2521000000</v>
      </c>
      <c r="F15" s="1">
        <v>3088000000</v>
      </c>
      <c r="L15" s="19" t="s">
        <v>120</v>
      </c>
      <c r="M15" s="20" t="s">
        <v>121</v>
      </c>
      <c r="N15" s="20" t="s">
        <v>122</v>
      </c>
      <c r="O15" s="20" t="s">
        <v>123</v>
      </c>
    </row>
    <row r="16" spans="1:38" ht="19" x14ac:dyDescent="0.25">
      <c r="A16" s="5" t="s">
        <v>11</v>
      </c>
      <c r="B16" s="1">
        <f>4037000000</f>
        <v>4037000000</v>
      </c>
      <c r="C16" s="1">
        <v>4270000000</v>
      </c>
      <c r="D16" s="1">
        <v>4528000000</v>
      </c>
      <c r="E16" s="1">
        <v>4965000000</v>
      </c>
      <c r="F16" s="1">
        <v>5885000000</v>
      </c>
      <c r="L16" s="26">
        <f>AVERAGE(C35:G35)</f>
        <v>2.1155833950386772E-2</v>
      </c>
      <c r="M16" s="28">
        <f>N102/F3</f>
        <v>8.5506644518272417</v>
      </c>
      <c r="N16" s="28">
        <f>N102/F28</f>
        <v>36.95985639686684</v>
      </c>
      <c r="O16" s="30">
        <f>N102/F107</f>
        <v>42.573308270676691</v>
      </c>
    </row>
    <row r="17" spans="1:15" ht="19" x14ac:dyDescent="0.25">
      <c r="A17" s="5" t="s">
        <v>12</v>
      </c>
      <c r="B17" s="1">
        <v>25500000</v>
      </c>
      <c r="C17" s="1">
        <v>38000000</v>
      </c>
      <c r="D17" s="1">
        <v>41000000</v>
      </c>
      <c r="E17" s="1">
        <v>44000000</v>
      </c>
      <c r="F17" s="1">
        <v>78000000</v>
      </c>
    </row>
    <row r="18" spans="1:15" ht="20" x14ac:dyDescent="0.25">
      <c r="A18" s="5" t="s">
        <v>13</v>
      </c>
      <c r="B18" s="1">
        <v>172000000</v>
      </c>
      <c r="C18" s="1">
        <v>180000000</v>
      </c>
      <c r="D18" s="1">
        <v>188000000</v>
      </c>
      <c r="E18" s="1">
        <v>195000000</v>
      </c>
      <c r="F18" s="1">
        <v>203000000</v>
      </c>
      <c r="L18" s="19" t="s">
        <v>124</v>
      </c>
      <c r="M18" s="20" t="s">
        <v>158</v>
      </c>
      <c r="N18" s="20" t="s">
        <v>159</v>
      </c>
      <c r="O18" s="20" t="s">
        <v>160</v>
      </c>
    </row>
    <row r="19" spans="1:15" ht="19" x14ac:dyDescent="0.25">
      <c r="A19" s="6" t="s">
        <v>14</v>
      </c>
      <c r="B19" s="10">
        <v>1585000000</v>
      </c>
      <c r="C19" s="10">
        <v>1771000000</v>
      </c>
      <c r="D19" s="10">
        <v>1910000000</v>
      </c>
      <c r="E19" s="10">
        <v>2291000000</v>
      </c>
      <c r="F19" s="10">
        <v>2528000000</v>
      </c>
      <c r="G19" s="35">
        <f>F19*(1+G4)</f>
        <v>3071241316.8227124</v>
      </c>
      <c r="H19" s="35">
        <f>3700000000</f>
        <v>3700000000</v>
      </c>
      <c r="I19" s="35">
        <v>4100000000</v>
      </c>
      <c r="J19" s="35">
        <v>4500000000</v>
      </c>
      <c r="K19" s="35">
        <v>4900000000</v>
      </c>
      <c r="L19" s="27">
        <f>F40-F56-F61</f>
        <v>-618000000</v>
      </c>
      <c r="M19" s="28">
        <f>N102/G3</f>
        <v>7.03822249844624</v>
      </c>
      <c r="N19" s="29">
        <f>N102/G28</f>
        <v>31.889220545167831</v>
      </c>
      <c r="O19" s="30">
        <f>N102/G107</f>
        <v>26.459112149532711</v>
      </c>
    </row>
    <row r="20" spans="1:15" ht="19" customHeight="1" x14ac:dyDescent="0.25">
      <c r="A20" s="14" t="s">
        <v>100</v>
      </c>
      <c r="B20" s="1"/>
      <c r="C20" s="15">
        <f>(C19/B19)-1</f>
        <v>0.11735015772870661</v>
      </c>
      <c r="D20" s="15">
        <f>(D19/C19)-1</f>
        <v>7.84867306606436E-2</v>
      </c>
      <c r="E20" s="15">
        <f>(E19/D19)-1</f>
        <v>0.19947643979057594</v>
      </c>
      <c r="F20" s="15">
        <f t="shared" ref="F20" si="5">(F19/E19)-1</f>
        <v>0.10344827586206895</v>
      </c>
      <c r="G20" s="16">
        <f t="shared" ref="G20" si="6">(G19/F19)-1</f>
        <v>0.21488976140138938</v>
      </c>
      <c r="H20" s="16">
        <f t="shared" ref="H20" si="7">(H19/G19)-1</f>
        <v>0.20472461077326098</v>
      </c>
      <c r="I20" s="16">
        <f t="shared" ref="I20" si="8">(I19/H19)-1</f>
        <v>0.10810810810810811</v>
      </c>
      <c r="J20" s="16">
        <f t="shared" ref="J20" si="9">(J19/I19)-1</f>
        <v>9.7560975609756184E-2</v>
      </c>
      <c r="K20" s="16">
        <f t="shared" ref="K20" si="10">(K19/J19)-1</f>
        <v>8.8888888888888795E-2</v>
      </c>
      <c r="M20" s="15"/>
      <c r="N20" s="15"/>
      <c r="O20" s="15"/>
    </row>
    <row r="21" spans="1:15" ht="20" x14ac:dyDescent="0.25">
      <c r="A21" s="5" t="s">
        <v>15</v>
      </c>
      <c r="B21" s="2">
        <f>B19/B3</f>
        <v>0.42425053533190576</v>
      </c>
      <c r="C21" s="2">
        <f t="shared" ref="C21:F21" si="11">C19/C3</f>
        <v>0.43956316703896747</v>
      </c>
      <c r="D21" s="2">
        <f t="shared" si="11"/>
        <v>0.43677109535787789</v>
      </c>
      <c r="E21" s="2">
        <f t="shared" si="11"/>
        <v>0.44868781825303566</v>
      </c>
      <c r="F21" s="2">
        <f t="shared" si="11"/>
        <v>0.38175777710661429</v>
      </c>
      <c r="G21" s="43">
        <f t="shared" ref="G21:K21" si="12">G19/G3</f>
        <v>0.38175777710661435</v>
      </c>
      <c r="H21" s="43">
        <f t="shared" si="12"/>
        <v>0.39716616573636754</v>
      </c>
      <c r="I21" s="43">
        <f t="shared" si="12"/>
        <v>0.4</v>
      </c>
      <c r="J21" s="43">
        <f t="shared" si="12"/>
        <v>0.4017857142857143</v>
      </c>
      <c r="K21" s="43">
        <f t="shared" si="12"/>
        <v>0.40833333333333333</v>
      </c>
      <c r="M21" s="44" t="s">
        <v>167</v>
      </c>
      <c r="N21" s="19" t="s">
        <v>161</v>
      </c>
      <c r="O21" s="20" t="s">
        <v>166</v>
      </c>
    </row>
    <row r="22" spans="1:15" ht="19" x14ac:dyDescent="0.25">
      <c r="A22" s="6" t="s">
        <v>16</v>
      </c>
      <c r="B22" s="10">
        <v>1370000000</v>
      </c>
      <c r="C22" s="10">
        <v>1551000000</v>
      </c>
      <c r="D22" s="10">
        <v>1675000000</v>
      </c>
      <c r="E22" s="10">
        <v>1926000000</v>
      </c>
      <c r="F22" s="10">
        <v>2140000000</v>
      </c>
      <c r="M22" s="17">
        <f>SUM(G29:K29)/5</f>
        <v>0.11200937884577282</v>
      </c>
      <c r="N22" s="42">
        <f>(-1*F98)/N102</f>
        <v>1.5011700295818799E-3</v>
      </c>
      <c r="O22" s="31">
        <f>G107/N102</f>
        <v>3.7794163097708507E-2</v>
      </c>
    </row>
    <row r="23" spans="1:15" ht="19" x14ac:dyDescent="0.25">
      <c r="A23" s="5" t="s">
        <v>17</v>
      </c>
      <c r="B23" s="2">
        <f>B22/B3</f>
        <v>0.36670235546038543</v>
      </c>
      <c r="C23" s="2">
        <f t="shared" ref="C23:F23" si="13">C22/C3</f>
        <v>0.38495904690990318</v>
      </c>
      <c r="D23" s="2">
        <f t="shared" si="13"/>
        <v>0.38303224331122798</v>
      </c>
      <c r="E23" s="2">
        <f t="shared" si="13"/>
        <v>0.37720329024676852</v>
      </c>
      <c r="F23" s="2">
        <f t="shared" si="13"/>
        <v>0.32316520688613715</v>
      </c>
    </row>
    <row r="24" spans="1:15" ht="19" x14ac:dyDescent="0.25">
      <c r="A24" s="5" t="s">
        <v>18</v>
      </c>
      <c r="B24" s="1">
        <v>-14000000</v>
      </c>
      <c r="C24" s="1">
        <v>-16000000</v>
      </c>
      <c r="D24" s="1">
        <v>-17000000</v>
      </c>
      <c r="E24" s="1">
        <v>-18000000</v>
      </c>
      <c r="F24" s="1">
        <v>-14000000</v>
      </c>
    </row>
    <row r="25" spans="1:15" ht="19" x14ac:dyDescent="0.25">
      <c r="A25" s="6" t="s">
        <v>19</v>
      </c>
      <c r="B25" s="10">
        <v>1384000000</v>
      </c>
      <c r="C25" s="10">
        <v>1567000000</v>
      </c>
      <c r="D25" s="10">
        <v>1692000000</v>
      </c>
      <c r="E25" s="10">
        <v>1944000000</v>
      </c>
      <c r="F25" s="10">
        <v>2154000000</v>
      </c>
    </row>
    <row r="26" spans="1:15" ht="19" x14ac:dyDescent="0.25">
      <c r="A26" s="5" t="s">
        <v>20</v>
      </c>
      <c r="B26" s="2">
        <f>B25/B3</f>
        <v>0.37044967880085655</v>
      </c>
      <c r="C26" s="2">
        <f t="shared" ref="C26:F26" si="14">C25/C3</f>
        <v>0.38893025564656242</v>
      </c>
      <c r="D26" s="2">
        <f t="shared" si="14"/>
        <v>0.38691973473587926</v>
      </c>
      <c r="E26" s="2">
        <f t="shared" si="14"/>
        <v>0.3807285546415981</v>
      </c>
      <c r="F26" s="2">
        <f t="shared" si="14"/>
        <v>0.32527937179099969</v>
      </c>
    </row>
    <row r="27" spans="1:15" ht="19" x14ac:dyDescent="0.25">
      <c r="A27" s="5" t="s">
        <v>21</v>
      </c>
      <c r="B27" s="1">
        <v>424000000</v>
      </c>
      <c r="C27" s="1">
        <v>473000000</v>
      </c>
      <c r="D27" s="1">
        <v>505000000</v>
      </c>
      <c r="E27" s="1">
        <v>532000000</v>
      </c>
      <c r="F27" s="1">
        <v>622000000</v>
      </c>
    </row>
    <row r="28" spans="1:15" ht="20" thickBot="1" x14ac:dyDescent="0.3">
      <c r="A28" s="7" t="s">
        <v>22</v>
      </c>
      <c r="B28" s="11">
        <v>960000000</v>
      </c>
      <c r="C28" s="11">
        <v>1094000000</v>
      </c>
      <c r="D28" s="11">
        <v>1187000000</v>
      </c>
      <c r="E28" s="11">
        <v>1412000000</v>
      </c>
      <c r="F28" s="11">
        <v>1532000000</v>
      </c>
      <c r="G28" s="32">
        <v>1775600000</v>
      </c>
      <c r="H28" s="32">
        <v>2021800000</v>
      </c>
      <c r="I28" s="32">
        <v>2200000000</v>
      </c>
      <c r="J28" s="32">
        <v>2400000000</v>
      </c>
      <c r="K28" s="32">
        <v>2600000000</v>
      </c>
    </row>
    <row r="29" spans="1:15" ht="20" customHeight="1" thickTop="1" x14ac:dyDescent="0.25">
      <c r="A29" s="14" t="s">
        <v>101</v>
      </c>
      <c r="B29" s="1"/>
      <c r="C29" s="15">
        <f>(C28/B28)-1</f>
        <v>0.13958333333333339</v>
      </c>
      <c r="D29" s="15">
        <f>(D28/C28)-1</f>
        <v>8.5009140767824398E-2</v>
      </c>
      <c r="E29" s="15">
        <f>(E28/D28)-1</f>
        <v>0.18955349620893003</v>
      </c>
      <c r="F29" s="15">
        <f>(F28/E28)-1</f>
        <v>8.4985835694050937E-2</v>
      </c>
      <c r="G29" s="16">
        <f t="shared" ref="G29:K29" si="15">(G28/F28)-1</f>
        <v>0.15900783289817233</v>
      </c>
      <c r="H29" s="16">
        <f t="shared" si="15"/>
        <v>0.13865735526019374</v>
      </c>
      <c r="I29" s="16">
        <f t="shared" si="15"/>
        <v>8.8139281828073957E-2</v>
      </c>
      <c r="J29" s="16">
        <f t="shared" si="15"/>
        <v>9.0909090909090828E-2</v>
      </c>
      <c r="K29" s="16">
        <f t="shared" si="15"/>
        <v>8.3333333333333259E-2</v>
      </c>
    </row>
    <row r="30" spans="1:15" ht="19" x14ac:dyDescent="0.25">
      <c r="A30" s="5" t="s">
        <v>23</v>
      </c>
      <c r="B30" s="2">
        <f>B28/B3</f>
        <v>0.2569593147751606</v>
      </c>
      <c r="C30" s="2">
        <f t="shared" ref="C30:F30" si="16">C28/C3</f>
        <v>0.27153139736907422</v>
      </c>
      <c r="D30" s="2">
        <f t="shared" si="16"/>
        <v>0.27143837182712099</v>
      </c>
      <c r="E30" s="2">
        <f t="shared" si="16"/>
        <v>0.27653740697218959</v>
      </c>
      <c r="F30" s="2">
        <f t="shared" si="16"/>
        <v>0.23135004530353367</v>
      </c>
      <c r="G30" s="33">
        <f t="shared" ref="G30:K30" si="17">G28/G3</f>
        <v>0.22070851460534494</v>
      </c>
      <c r="H30" s="33">
        <f t="shared" si="17"/>
        <v>0.21702447402318592</v>
      </c>
      <c r="I30" s="33">
        <f t="shared" si="17"/>
        <v>0.21463414634146341</v>
      </c>
      <c r="J30" s="33">
        <f t="shared" si="17"/>
        <v>0.21428571428571427</v>
      </c>
      <c r="K30" s="33">
        <f t="shared" si="17"/>
        <v>0.21666666666666667</v>
      </c>
    </row>
    <row r="31" spans="1:15" ht="19" x14ac:dyDescent="0.25">
      <c r="A31" s="5" t="s">
        <v>24</v>
      </c>
      <c r="B31" s="12">
        <v>11.34</v>
      </c>
      <c r="C31" s="12">
        <v>15.61</v>
      </c>
      <c r="D31" s="12">
        <v>20.53</v>
      </c>
      <c r="E31" s="12">
        <v>26.04</v>
      </c>
      <c r="F31" s="12">
        <v>32.93</v>
      </c>
      <c r="G31" s="34">
        <v>58.56</v>
      </c>
      <c r="H31" s="34">
        <v>73</v>
      </c>
      <c r="I31" s="34">
        <v>85</v>
      </c>
      <c r="J31" s="34">
        <v>97</v>
      </c>
      <c r="K31" s="34">
        <v>115</v>
      </c>
    </row>
    <row r="32" spans="1:15" ht="19" x14ac:dyDescent="0.25">
      <c r="A32" s="5" t="s">
        <v>25</v>
      </c>
      <c r="B32" s="12">
        <v>11.34</v>
      </c>
      <c r="C32" s="12">
        <v>15.61</v>
      </c>
      <c r="D32" s="12">
        <v>20.53</v>
      </c>
      <c r="E32" s="12">
        <v>26.04</v>
      </c>
      <c r="F32" s="12">
        <v>32.93</v>
      </c>
    </row>
    <row r="33" spans="1:7" ht="19" x14ac:dyDescent="0.25">
      <c r="A33" s="5" t="s">
        <v>26</v>
      </c>
      <c r="B33" s="1">
        <v>19100000</v>
      </c>
      <c r="C33" s="1">
        <v>20120000</v>
      </c>
      <c r="D33" s="1">
        <v>20600000</v>
      </c>
      <c r="E33" s="1">
        <v>20950000</v>
      </c>
      <c r="F33" s="1">
        <v>21191530</v>
      </c>
      <c r="G33" s="1" cm="1">
        <f t="array" ref="G33">_FV(A1,"Shares outstanding",TRUE)</f>
        <v>21191530</v>
      </c>
    </row>
    <row r="34" spans="1:7" ht="19" x14ac:dyDescent="0.25">
      <c r="A34" s="5" t="s">
        <v>27</v>
      </c>
      <c r="B34" s="1">
        <v>19100000</v>
      </c>
      <c r="C34" s="1">
        <v>20120000</v>
      </c>
      <c r="D34" s="1">
        <v>20600000</v>
      </c>
      <c r="E34" s="1">
        <v>20950000</v>
      </c>
      <c r="F34" s="1">
        <v>21191530</v>
      </c>
      <c r="G34" s="1" cm="1">
        <f t="array" ref="G34">_FV(A1,"Shares outstanding",TRUE)</f>
        <v>21191530</v>
      </c>
    </row>
    <row r="35" spans="1:7" ht="20" customHeight="1" x14ac:dyDescent="0.25">
      <c r="A35" s="14" t="s">
        <v>102</v>
      </c>
      <c r="B35" s="1"/>
      <c r="C35" s="23">
        <f>(C34-B34)/B34</f>
        <v>5.3403141361256547E-2</v>
      </c>
      <c r="D35" s="23">
        <f t="shared" ref="D35:G35" si="18">(D34-C34)/C34</f>
        <v>2.3856858846918488E-2</v>
      </c>
      <c r="E35" s="23">
        <f t="shared" si="18"/>
        <v>1.6990291262135922E-2</v>
      </c>
      <c r="F35" s="23">
        <f t="shared" si="18"/>
        <v>1.1528878281622912E-2</v>
      </c>
      <c r="G35" s="23">
        <f t="shared" si="18"/>
        <v>0</v>
      </c>
    </row>
    <row r="36" spans="1:7" ht="19" x14ac:dyDescent="0.25">
      <c r="A36" s="5" t="s">
        <v>28</v>
      </c>
      <c r="B36" s="13" t="s">
        <v>92</v>
      </c>
      <c r="C36" s="13" t="s">
        <v>92</v>
      </c>
      <c r="D36" s="13" t="s">
        <v>92</v>
      </c>
      <c r="E36" s="13" t="s">
        <v>92</v>
      </c>
      <c r="F36" s="13" t="s">
        <v>92</v>
      </c>
    </row>
    <row r="37" spans="1:7" ht="21" x14ac:dyDescent="0.25">
      <c r="A37" s="4" t="s">
        <v>29</v>
      </c>
      <c r="B37" s="9" t="s">
        <v>90</v>
      </c>
      <c r="C37" s="9" t="s">
        <v>90</v>
      </c>
      <c r="D37" s="9" t="s">
        <v>90</v>
      </c>
      <c r="E37" s="9" t="s">
        <v>90</v>
      </c>
      <c r="F37" s="9" t="s">
        <v>90</v>
      </c>
    </row>
    <row r="38" spans="1:7" ht="19" x14ac:dyDescent="0.25">
      <c r="A38" s="5" t="s">
        <v>30</v>
      </c>
      <c r="B38" s="1">
        <v>588600000</v>
      </c>
      <c r="C38" s="1">
        <v>316000000</v>
      </c>
      <c r="D38" s="1">
        <v>758000000</v>
      </c>
      <c r="E38" s="1">
        <v>763000000</v>
      </c>
      <c r="F38" s="1">
        <v>811000000</v>
      </c>
    </row>
    <row r="39" spans="1:7" ht="19" x14ac:dyDescent="0.25">
      <c r="A39" s="5" t="s">
        <v>31</v>
      </c>
      <c r="B39" s="1" t="s">
        <v>91</v>
      </c>
      <c r="C39" s="1">
        <v>10000000</v>
      </c>
      <c r="D39" s="1">
        <v>9000000</v>
      </c>
      <c r="E39" s="1">
        <v>39000000</v>
      </c>
      <c r="F39" s="1">
        <v>115000000</v>
      </c>
    </row>
    <row r="40" spans="1:7" ht="19" x14ac:dyDescent="0.25">
      <c r="A40" s="5" t="s">
        <v>32</v>
      </c>
      <c r="B40" s="1">
        <v>588600000</v>
      </c>
      <c r="C40" s="1">
        <v>326000000</v>
      </c>
      <c r="D40" s="1">
        <v>767000000</v>
      </c>
      <c r="E40" s="1">
        <v>802000000</v>
      </c>
      <c r="F40" s="1">
        <f>F38+F39</f>
        <v>926000000</v>
      </c>
    </row>
    <row r="41" spans="1:7" ht="19" x14ac:dyDescent="0.25">
      <c r="A41" s="5" t="s">
        <v>33</v>
      </c>
      <c r="B41" s="1">
        <v>509800000</v>
      </c>
      <c r="C41" s="1">
        <v>610000000</v>
      </c>
      <c r="D41" s="1">
        <v>675000000</v>
      </c>
      <c r="E41" s="1">
        <v>842000000</v>
      </c>
      <c r="F41" s="1">
        <v>600000000</v>
      </c>
    </row>
    <row r="42" spans="1:7" ht="19" x14ac:dyDescent="0.25">
      <c r="A42" s="5" t="s">
        <v>34</v>
      </c>
      <c r="B42" s="1">
        <v>34400000</v>
      </c>
      <c r="C42" s="1">
        <v>31000000</v>
      </c>
      <c r="D42" s="1">
        <v>27000000</v>
      </c>
      <c r="E42" s="1">
        <v>35000000</v>
      </c>
      <c r="F42" s="1">
        <v>48000000</v>
      </c>
    </row>
    <row r="43" spans="1:7" ht="19" x14ac:dyDescent="0.25">
      <c r="A43" s="5" t="s">
        <v>35</v>
      </c>
      <c r="B43" s="1">
        <v>74400000</v>
      </c>
      <c r="C43" s="1">
        <v>95000000</v>
      </c>
      <c r="D43" s="1">
        <v>116000000</v>
      </c>
      <c r="E43" s="1">
        <v>156000000</v>
      </c>
      <c r="F43" s="1">
        <v>496000000</v>
      </c>
    </row>
    <row r="44" spans="1:7" ht="19" x14ac:dyDescent="0.25">
      <c r="A44" s="6" t="s">
        <v>36</v>
      </c>
      <c r="B44" s="10">
        <v>1207200000</v>
      </c>
      <c r="C44" s="10">
        <v>1062000000</v>
      </c>
      <c r="D44" s="10">
        <v>1585000000</v>
      </c>
      <c r="E44" s="10">
        <v>1835000000</v>
      </c>
      <c r="F44" s="10">
        <v>2461000000</v>
      </c>
    </row>
    <row r="45" spans="1:7" ht="19" x14ac:dyDescent="0.25">
      <c r="A45" s="5" t="s">
        <v>37</v>
      </c>
      <c r="B45" s="1">
        <v>67400000</v>
      </c>
      <c r="C45" s="1">
        <v>311000000</v>
      </c>
      <c r="D45" s="1">
        <v>337000000</v>
      </c>
      <c r="E45" s="1">
        <v>339000000</v>
      </c>
      <c r="F45" s="1">
        <v>339000000</v>
      </c>
    </row>
    <row r="46" spans="1:7" ht="19" x14ac:dyDescent="0.25">
      <c r="A46" s="5" t="s">
        <v>38</v>
      </c>
      <c r="B46" s="1">
        <v>301900000</v>
      </c>
      <c r="C46" s="1">
        <v>361000000</v>
      </c>
      <c r="D46" s="1">
        <v>431000000</v>
      </c>
      <c r="E46" s="1">
        <v>610000000</v>
      </c>
      <c r="F46" s="1">
        <v>808000000</v>
      </c>
    </row>
    <row r="47" spans="1:7" ht="19" x14ac:dyDescent="0.25">
      <c r="A47" s="5" t="s">
        <v>39</v>
      </c>
      <c r="B47" s="1">
        <v>1247400000</v>
      </c>
      <c r="C47" s="1">
        <v>1637000000</v>
      </c>
      <c r="D47" s="1">
        <v>1892000000</v>
      </c>
      <c r="E47" s="1">
        <v>2819000000</v>
      </c>
      <c r="F47" s="1">
        <v>3416000000</v>
      </c>
    </row>
    <row r="48" spans="1:7" ht="19" x14ac:dyDescent="0.25">
      <c r="A48" s="5" t="s">
        <v>40</v>
      </c>
      <c r="B48" s="1">
        <v>1549300000</v>
      </c>
      <c r="C48" s="1">
        <v>1998000000</v>
      </c>
      <c r="D48" s="1">
        <v>2323000000</v>
      </c>
      <c r="E48" s="1">
        <v>3429000000</v>
      </c>
      <c r="F48" s="1">
        <v>4679000000</v>
      </c>
    </row>
    <row r="49" spans="1:6" ht="19" x14ac:dyDescent="0.25">
      <c r="A49" s="5" t="s">
        <v>41</v>
      </c>
      <c r="B49" s="1">
        <v>2600000</v>
      </c>
      <c r="C49" s="1">
        <v>2000000</v>
      </c>
      <c r="D49" s="1">
        <v>2000000</v>
      </c>
      <c r="E49" s="1">
        <v>2000000</v>
      </c>
      <c r="F49" s="1">
        <v>2000000</v>
      </c>
    </row>
    <row r="50" spans="1:6" ht="19" x14ac:dyDescent="0.25">
      <c r="A50" s="5" t="s">
        <v>42</v>
      </c>
      <c r="B50" s="1">
        <v>47300000</v>
      </c>
      <c r="C50" s="1">
        <v>45000000</v>
      </c>
      <c r="D50" s="1">
        <v>52000000</v>
      </c>
      <c r="E50" s="1">
        <v>66000000</v>
      </c>
      <c r="F50" s="1">
        <v>160000000</v>
      </c>
    </row>
    <row r="51" spans="1:6" ht="19" x14ac:dyDescent="0.25">
      <c r="A51" s="5" t="s">
        <v>43</v>
      </c>
      <c r="B51" s="1">
        <v>61600000</v>
      </c>
      <c r="C51" s="1">
        <v>69000000</v>
      </c>
      <c r="D51" s="1">
        <v>76000000</v>
      </c>
      <c r="E51" s="1">
        <v>95000000</v>
      </c>
      <c r="F51" s="1">
        <v>172000000</v>
      </c>
    </row>
    <row r="52" spans="1:6" ht="19" x14ac:dyDescent="0.25">
      <c r="A52" s="5" t="s">
        <v>44</v>
      </c>
      <c r="B52" s="1">
        <v>1728200000</v>
      </c>
      <c r="C52" s="1">
        <v>2425000000</v>
      </c>
      <c r="D52" s="1">
        <v>2790000000</v>
      </c>
      <c r="E52" s="1">
        <v>3931000000</v>
      </c>
      <c r="F52" s="1">
        <v>5422000000</v>
      </c>
    </row>
    <row r="53" spans="1:6" ht="19" x14ac:dyDescent="0.25">
      <c r="A53" s="5" t="s">
        <v>45</v>
      </c>
      <c r="B53" s="1" t="s">
        <v>91</v>
      </c>
      <c r="C53" s="1">
        <v>1000000</v>
      </c>
      <c r="D53" s="1" t="s">
        <v>91</v>
      </c>
      <c r="E53" s="1" t="s">
        <v>91</v>
      </c>
      <c r="F53" s="1"/>
    </row>
    <row r="54" spans="1:6" ht="20" thickBot="1" x14ac:dyDescent="0.3">
      <c r="A54" s="7" t="s">
        <v>46</v>
      </c>
      <c r="B54" s="11">
        <v>2935400000</v>
      </c>
      <c r="C54" s="11">
        <v>3488000000</v>
      </c>
      <c r="D54" s="11">
        <v>4375000000</v>
      </c>
      <c r="E54" s="11">
        <v>5766000000</v>
      </c>
      <c r="F54" s="11">
        <v>7882000000</v>
      </c>
    </row>
    <row r="55" spans="1:6" ht="20" thickTop="1" x14ac:dyDescent="0.25">
      <c r="A55" s="5" t="s">
        <v>47</v>
      </c>
      <c r="B55" s="1">
        <v>463900000</v>
      </c>
      <c r="C55" s="1">
        <v>529000000</v>
      </c>
      <c r="D55" s="1">
        <v>666000000</v>
      </c>
      <c r="E55" s="1">
        <v>832000000</v>
      </c>
      <c r="F55" s="1">
        <v>1080000000</v>
      </c>
    </row>
    <row r="56" spans="1:6" ht="19" x14ac:dyDescent="0.25">
      <c r="A56" s="5" t="s">
        <v>48</v>
      </c>
      <c r="B56" s="1">
        <v>51200000</v>
      </c>
      <c r="C56" s="1">
        <v>182000000</v>
      </c>
      <c r="D56" s="1">
        <v>102000000</v>
      </c>
      <c r="E56" s="1">
        <v>282000000</v>
      </c>
      <c r="F56" s="1">
        <v>423000000</v>
      </c>
    </row>
    <row r="57" spans="1:6" ht="19" x14ac:dyDescent="0.25">
      <c r="A57" s="5" t="s">
        <v>49</v>
      </c>
      <c r="B57" s="1">
        <v>30300000</v>
      </c>
      <c r="C57" s="1">
        <v>36000000</v>
      </c>
      <c r="D57" s="1">
        <v>78000000</v>
      </c>
      <c r="E57" s="1">
        <v>56000000</v>
      </c>
      <c r="F57" s="1">
        <v>97000000</v>
      </c>
    </row>
    <row r="58" spans="1:6" ht="19" x14ac:dyDescent="0.25">
      <c r="A58" s="5" t="s">
        <v>50</v>
      </c>
      <c r="B58" s="1">
        <v>656500000</v>
      </c>
      <c r="C58" s="1">
        <v>788000000</v>
      </c>
      <c r="D58" s="1">
        <v>962000000</v>
      </c>
      <c r="E58" s="1">
        <v>1158000000</v>
      </c>
      <c r="F58" s="1">
        <v>1484000000</v>
      </c>
    </row>
    <row r="59" spans="1:6" ht="19" x14ac:dyDescent="0.25">
      <c r="A59" s="5" t="s">
        <v>51</v>
      </c>
      <c r="B59" s="1">
        <v>142200000</v>
      </c>
      <c r="C59" s="1">
        <v>197000000</v>
      </c>
      <c r="D59" s="1">
        <v>232000000</v>
      </c>
      <c r="E59" s="1">
        <v>133000000</v>
      </c>
      <c r="F59" s="1">
        <f>F60-SUM(F55:F58)</f>
        <v>684000000</v>
      </c>
    </row>
    <row r="60" spans="1:6" ht="19" x14ac:dyDescent="0.25">
      <c r="A60" s="6" t="s">
        <v>52</v>
      </c>
      <c r="B60" s="10">
        <v>1344100000</v>
      </c>
      <c r="C60" s="10">
        <v>1732000000</v>
      </c>
      <c r="D60" s="10">
        <v>2040000000</v>
      </c>
      <c r="E60" s="10">
        <v>2461000000</v>
      </c>
      <c r="F60" s="10">
        <v>3768000000</v>
      </c>
    </row>
    <row r="61" spans="1:6" ht="19" x14ac:dyDescent="0.25">
      <c r="A61" s="5" t="s">
        <v>53</v>
      </c>
      <c r="B61" s="1">
        <v>317200000</v>
      </c>
      <c r="C61" s="1">
        <v>562000000</v>
      </c>
      <c r="D61" s="1">
        <v>623000000</v>
      </c>
      <c r="E61" s="1">
        <v>1105000000</v>
      </c>
      <c r="F61" s="1">
        <v>1121000000</v>
      </c>
    </row>
    <row r="62" spans="1:6" ht="19" x14ac:dyDescent="0.25">
      <c r="A62" s="5" t="s">
        <v>50</v>
      </c>
      <c r="B62" s="1">
        <v>43000000</v>
      </c>
      <c r="C62" s="1">
        <v>41000000</v>
      </c>
      <c r="D62" s="1">
        <v>44000000</v>
      </c>
      <c r="E62" s="1">
        <v>52000000</v>
      </c>
      <c r="F62" s="1">
        <v>100000000</v>
      </c>
    </row>
    <row r="63" spans="1:6" ht="19" x14ac:dyDescent="0.25">
      <c r="A63" s="5" t="s">
        <v>54</v>
      </c>
      <c r="B63" s="1">
        <v>191500000</v>
      </c>
      <c r="C63" s="1">
        <v>246000000</v>
      </c>
      <c r="D63" s="1">
        <v>285000000</v>
      </c>
      <c r="E63" s="1">
        <v>436000000</v>
      </c>
      <c r="F63" s="1">
        <v>471000000</v>
      </c>
    </row>
    <row r="64" spans="1:6" ht="19" x14ac:dyDescent="0.25">
      <c r="A64" s="5" t="s">
        <v>55</v>
      </c>
      <c r="B64" s="1">
        <v>173500000</v>
      </c>
      <c r="C64" s="1">
        <v>220000000</v>
      </c>
      <c r="D64" s="1">
        <v>335000000</v>
      </c>
      <c r="E64" s="1">
        <v>192000000</v>
      </c>
      <c r="F64" s="1">
        <v>53000000</v>
      </c>
    </row>
    <row r="65" spans="1:6" ht="19" x14ac:dyDescent="0.25">
      <c r="A65" s="5" t="s">
        <v>56</v>
      </c>
      <c r="B65" s="1">
        <v>725200000</v>
      </c>
      <c r="C65" s="1">
        <v>1069000000</v>
      </c>
      <c r="D65" s="1">
        <v>1287000000</v>
      </c>
      <c r="E65" s="1">
        <v>1785000000</v>
      </c>
      <c r="F65" s="1">
        <v>2181000000</v>
      </c>
    </row>
    <row r="66" spans="1:6" ht="19" x14ac:dyDescent="0.25">
      <c r="A66" s="5" t="s">
        <v>57</v>
      </c>
      <c r="B66" s="1" t="s">
        <v>91</v>
      </c>
      <c r="C66" s="1" t="s">
        <v>91</v>
      </c>
      <c r="D66" s="1" t="s">
        <v>91</v>
      </c>
      <c r="E66" s="1" t="s">
        <v>91</v>
      </c>
      <c r="F66" s="1"/>
    </row>
    <row r="67" spans="1:6" ht="19" x14ac:dyDescent="0.25">
      <c r="A67" s="6" t="s">
        <v>58</v>
      </c>
      <c r="B67" s="10">
        <v>2069300000</v>
      </c>
      <c r="C67" s="10">
        <v>2801000000</v>
      </c>
      <c r="D67" s="10">
        <v>3327000000</v>
      </c>
      <c r="E67" s="10">
        <v>4246000000</v>
      </c>
      <c r="F67" s="10">
        <v>5949000000</v>
      </c>
    </row>
    <row r="68" spans="1:6" ht="19" x14ac:dyDescent="0.25">
      <c r="A68" s="5" t="s">
        <v>59</v>
      </c>
      <c r="B68" s="1">
        <v>99300000</v>
      </c>
      <c r="C68" s="1">
        <v>99000000</v>
      </c>
      <c r="D68" s="1">
        <v>99000000</v>
      </c>
      <c r="E68" s="1">
        <v>99000000</v>
      </c>
      <c r="F68" s="1">
        <v>99000000</v>
      </c>
    </row>
    <row r="69" spans="1:6" ht="19" x14ac:dyDescent="0.25">
      <c r="A69" s="5" t="s">
        <v>60</v>
      </c>
      <c r="B69" s="1">
        <v>803500000</v>
      </c>
      <c r="C69" s="1">
        <v>628000000</v>
      </c>
      <c r="D69" s="1">
        <v>980000000</v>
      </c>
      <c r="E69" s="1">
        <v>1206000000</v>
      </c>
      <c r="F69" s="1">
        <v>1763000000</v>
      </c>
    </row>
    <row r="70" spans="1:6" ht="19" x14ac:dyDescent="0.25">
      <c r="A70" s="5" t="s">
        <v>61</v>
      </c>
      <c r="B70" s="1">
        <v>-36700000</v>
      </c>
      <c r="C70" s="1">
        <v>-40000000</v>
      </c>
      <c r="D70" s="1">
        <v>-31000000</v>
      </c>
      <c r="E70" s="1">
        <v>-66000000</v>
      </c>
      <c r="F70" s="1">
        <v>-150000000</v>
      </c>
    </row>
    <row r="71" spans="1:6" ht="19" x14ac:dyDescent="0.25">
      <c r="A71" s="5" t="s">
        <v>62</v>
      </c>
      <c r="B71" s="1" t="s">
        <v>91</v>
      </c>
      <c r="C71" s="1" t="s">
        <v>91</v>
      </c>
      <c r="D71" s="1" t="s">
        <v>91</v>
      </c>
      <c r="E71" s="1">
        <v>-179000000</v>
      </c>
      <c r="F71" s="1" t="s">
        <v>91</v>
      </c>
    </row>
    <row r="72" spans="1:6" ht="19" x14ac:dyDescent="0.25">
      <c r="A72" s="6" t="s">
        <v>63</v>
      </c>
      <c r="B72" s="10">
        <v>866100000</v>
      </c>
      <c r="C72" s="10">
        <v>687000000</v>
      </c>
      <c r="D72" s="10">
        <v>1048000000</v>
      </c>
      <c r="E72" s="10">
        <v>1521000000</v>
      </c>
      <c r="F72" s="10">
        <v>1933000000</v>
      </c>
    </row>
    <row r="73" spans="1:6" ht="20" thickBot="1" x14ac:dyDescent="0.3">
      <c r="A73" s="7" t="s">
        <v>64</v>
      </c>
      <c r="B73" s="11">
        <v>2935400000</v>
      </c>
      <c r="C73" s="11">
        <v>3488000000</v>
      </c>
      <c r="D73" s="11">
        <v>4375000000</v>
      </c>
      <c r="E73" s="11">
        <v>5766000000</v>
      </c>
      <c r="F73" s="11">
        <v>7882000000</v>
      </c>
    </row>
    <row r="74" spans="1:6" ht="20" thickTop="1" x14ac:dyDescent="0.25">
      <c r="A74" s="5" t="s">
        <v>28</v>
      </c>
      <c r="B74" s="13" t="s">
        <v>92</v>
      </c>
      <c r="C74" s="13" t="s">
        <v>92</v>
      </c>
      <c r="D74" s="13" t="s">
        <v>92</v>
      </c>
      <c r="E74" s="13" t="s">
        <v>92</v>
      </c>
      <c r="F74" s="13" t="s">
        <v>92</v>
      </c>
    </row>
    <row r="75" spans="1:6" ht="21" x14ac:dyDescent="0.25">
      <c r="A75" s="4" t="s">
        <v>65</v>
      </c>
      <c r="B75" s="9" t="s">
        <v>90</v>
      </c>
      <c r="C75" s="9" t="s">
        <v>90</v>
      </c>
      <c r="D75" s="9" t="s">
        <v>90</v>
      </c>
      <c r="E75" s="9" t="s">
        <v>90</v>
      </c>
      <c r="F75" s="9" t="s">
        <v>90</v>
      </c>
    </row>
    <row r="76" spans="1:6" ht="19" x14ac:dyDescent="0.25">
      <c r="A76" s="5" t="s">
        <v>66</v>
      </c>
      <c r="B76" s="1">
        <v>379300000</v>
      </c>
      <c r="C76" s="1">
        <v>333000000</v>
      </c>
      <c r="D76" s="1">
        <v>436000000</v>
      </c>
      <c r="E76" s="1">
        <v>169000000</v>
      </c>
      <c r="F76" s="1">
        <v>551000000</v>
      </c>
    </row>
    <row r="77" spans="1:6" ht="19" x14ac:dyDescent="0.25">
      <c r="A77" s="5" t="s">
        <v>13</v>
      </c>
      <c r="B77" s="1">
        <v>305800000</v>
      </c>
      <c r="C77" s="1">
        <v>423000000</v>
      </c>
      <c r="D77" s="1">
        <v>508000000</v>
      </c>
      <c r="E77" s="1">
        <v>639000000</v>
      </c>
      <c r="F77" s="1">
        <f>143000000+676000000</f>
        <v>819000000</v>
      </c>
    </row>
    <row r="78" spans="1:6" ht="19" x14ac:dyDescent="0.25">
      <c r="A78" s="5" t="s">
        <v>67</v>
      </c>
      <c r="B78" s="1">
        <v>106100000</v>
      </c>
      <c r="C78" s="1">
        <v>123000000</v>
      </c>
      <c r="D78" s="1">
        <v>167000000</v>
      </c>
      <c r="E78" s="1">
        <v>206000000</v>
      </c>
      <c r="F78" s="1">
        <v>175000000</v>
      </c>
    </row>
    <row r="79" spans="1:6" ht="19" x14ac:dyDescent="0.25">
      <c r="A79" s="5" t="s">
        <v>68</v>
      </c>
      <c r="B79" s="1">
        <v>0</v>
      </c>
      <c r="C79" s="1">
        <v>0</v>
      </c>
      <c r="D79" s="1">
        <v>0</v>
      </c>
      <c r="E79" s="1">
        <v>0</v>
      </c>
      <c r="F79" s="1">
        <v>0</v>
      </c>
    </row>
    <row r="80" spans="1:6" ht="19" x14ac:dyDescent="0.25">
      <c r="A80" s="14" t="s">
        <v>103</v>
      </c>
      <c r="B80" s="15">
        <f>B79/B3</f>
        <v>0</v>
      </c>
      <c r="C80" s="15">
        <f>C79/C3</f>
        <v>0</v>
      </c>
      <c r="D80" s="15">
        <f>D79/D3</f>
        <v>0</v>
      </c>
      <c r="E80" s="15">
        <f>E79/E3</f>
        <v>0</v>
      </c>
      <c r="F80" s="15">
        <f>F79/F3</f>
        <v>0</v>
      </c>
    </row>
    <row r="81" spans="1:15" ht="19" x14ac:dyDescent="0.25">
      <c r="A81" s="5" t="s">
        <v>69</v>
      </c>
      <c r="B81" s="1">
        <v>13600000</v>
      </c>
      <c r="C81" s="1">
        <v>-27000000</v>
      </c>
      <c r="D81" s="1">
        <v>118000000</v>
      </c>
      <c r="E81" s="1">
        <v>45000000</v>
      </c>
      <c r="F81" s="1">
        <v>-60000000</v>
      </c>
    </row>
    <row r="82" spans="1:15" ht="19" x14ac:dyDescent="0.25">
      <c r="A82" s="5" t="s">
        <v>70</v>
      </c>
      <c r="B82" s="1">
        <v>47300000</v>
      </c>
      <c r="C82" s="1">
        <v>10000000</v>
      </c>
      <c r="D82" s="1">
        <v>21000000</v>
      </c>
      <c r="E82" s="1">
        <v>-22000000</v>
      </c>
      <c r="F82" s="1">
        <v>-84000000</v>
      </c>
    </row>
    <row r="83" spans="1:15" ht="19" x14ac:dyDescent="0.25">
      <c r="A83" s="5" t="s">
        <v>34</v>
      </c>
      <c r="B83" s="1">
        <v>-9200000</v>
      </c>
      <c r="C83" s="1">
        <v>5000000</v>
      </c>
      <c r="D83" s="1">
        <v>8000000</v>
      </c>
      <c r="E83" s="1">
        <v>1000000</v>
      </c>
      <c r="F83" s="1">
        <v>-9000000</v>
      </c>
    </row>
    <row r="84" spans="1:15" ht="19" customHeight="1" x14ac:dyDescent="0.25">
      <c r="A84" s="5" t="s">
        <v>47</v>
      </c>
      <c r="B84" s="1" t="s">
        <v>91</v>
      </c>
      <c r="C84" s="1" t="s">
        <v>91</v>
      </c>
      <c r="D84" s="1" t="s">
        <v>91</v>
      </c>
      <c r="E84" s="1" t="s">
        <v>91</v>
      </c>
      <c r="F84" s="1" t="s">
        <v>91</v>
      </c>
      <c r="G84" s="45"/>
      <c r="H84" s="45"/>
      <c r="I84" s="45"/>
      <c r="J84" s="45"/>
      <c r="K84" s="45"/>
      <c r="L84" s="45"/>
      <c r="M84" s="74" t="s">
        <v>125</v>
      </c>
      <c r="N84" s="75"/>
    </row>
    <row r="85" spans="1:15" ht="20" customHeight="1" x14ac:dyDescent="0.25">
      <c r="A85" s="5" t="s">
        <v>71</v>
      </c>
      <c r="B85" s="1">
        <v>17600000</v>
      </c>
      <c r="C85" s="1">
        <v>19000000</v>
      </c>
      <c r="D85" s="1">
        <v>34000000</v>
      </c>
      <c r="E85" s="1">
        <v>54000000</v>
      </c>
      <c r="F85" s="1">
        <v>90000000</v>
      </c>
      <c r="G85" s="45"/>
      <c r="H85" s="45"/>
      <c r="I85" s="45"/>
      <c r="J85" s="45"/>
      <c r="K85" s="45"/>
      <c r="L85" s="45"/>
      <c r="M85" s="78" t="s">
        <v>126</v>
      </c>
      <c r="N85" s="78"/>
    </row>
    <row r="86" spans="1:15" ht="20" x14ac:dyDescent="0.25">
      <c r="A86" s="5" t="s">
        <v>72</v>
      </c>
      <c r="B86" s="1">
        <v>-142800000</v>
      </c>
      <c r="C86" s="1">
        <v>-85000000</v>
      </c>
      <c r="D86" s="1">
        <v>-43000000</v>
      </c>
      <c r="E86" s="1">
        <v>241000000</v>
      </c>
      <c r="F86" s="1">
        <v>283000000</v>
      </c>
      <c r="G86" s="45"/>
      <c r="H86" s="45"/>
      <c r="I86" s="45"/>
      <c r="J86" s="45"/>
      <c r="K86" s="45"/>
      <c r="L86" s="45"/>
      <c r="M86" s="37" t="s">
        <v>127</v>
      </c>
      <c r="N86" s="46">
        <f>F17</f>
        <v>78000000</v>
      </c>
    </row>
    <row r="87" spans="1:15" ht="20" x14ac:dyDescent="0.25">
      <c r="A87" s="6" t="s">
        <v>73</v>
      </c>
      <c r="B87" s="10">
        <v>662000000</v>
      </c>
      <c r="C87" s="10">
        <v>767000000</v>
      </c>
      <c r="D87" s="10">
        <v>1186000000</v>
      </c>
      <c r="E87" s="10">
        <v>1300000000</v>
      </c>
      <c r="F87" s="10">
        <v>1297000000</v>
      </c>
      <c r="G87" s="45"/>
      <c r="H87" s="45"/>
      <c r="I87" s="45"/>
      <c r="J87" s="45"/>
      <c r="K87" s="45"/>
      <c r="L87" s="45"/>
      <c r="M87" s="37" t="s">
        <v>128</v>
      </c>
      <c r="N87" s="46">
        <f>F56</f>
        <v>423000000</v>
      </c>
    </row>
    <row r="88" spans="1:15" ht="20" x14ac:dyDescent="0.25">
      <c r="A88" s="5" t="s">
        <v>74</v>
      </c>
      <c r="B88" s="1">
        <v>-25300000</v>
      </c>
      <c r="C88" s="1">
        <v>-34000000</v>
      </c>
      <c r="D88" s="1">
        <v>-25000000</v>
      </c>
      <c r="E88" s="1">
        <v>-29000000</v>
      </c>
      <c r="F88" s="1">
        <v>-41000000</v>
      </c>
      <c r="G88" s="45"/>
      <c r="H88" s="45"/>
      <c r="I88" s="45"/>
      <c r="J88" s="45"/>
      <c r="K88" s="45"/>
      <c r="L88" s="45"/>
      <c r="M88" s="37" t="s">
        <v>129</v>
      </c>
      <c r="N88" s="46">
        <f>F61</f>
        <v>1121000000</v>
      </c>
    </row>
    <row r="89" spans="1:15" ht="20" customHeight="1" x14ac:dyDescent="0.25">
      <c r="A89" s="14" t="s">
        <v>104</v>
      </c>
      <c r="B89" s="15">
        <f>(-1*B88)/B3</f>
        <v>6.7719486081370449E-3</v>
      </c>
      <c r="C89" s="15">
        <f>(-1*C88)/C3</f>
        <v>8.4388185654008432E-3</v>
      </c>
      <c r="D89" s="15">
        <f>(-1*D88)/D3</f>
        <v>5.716899153898925E-3</v>
      </c>
      <c r="E89" s="15">
        <f>(-1*E88)/E3</f>
        <v>5.6795926361143754E-3</v>
      </c>
      <c r="F89" s="15">
        <f>(-1*F88)/F3</f>
        <v>6.1914829356689823E-3</v>
      </c>
      <c r="G89" s="45"/>
      <c r="H89" s="45"/>
      <c r="I89" s="45"/>
      <c r="J89" s="45"/>
      <c r="K89" s="45"/>
      <c r="L89" s="45"/>
      <c r="M89" s="38" t="s">
        <v>130</v>
      </c>
      <c r="N89" s="47">
        <f>N86/(N87+N88)</f>
        <v>5.0518134715025906E-2</v>
      </c>
    </row>
    <row r="90" spans="1:15" ht="20" x14ac:dyDescent="0.25">
      <c r="A90" s="5" t="s">
        <v>75</v>
      </c>
      <c r="B90" s="1">
        <v>-484700000</v>
      </c>
      <c r="C90" s="1">
        <v>-505000000</v>
      </c>
      <c r="D90" s="1">
        <v>-485000000</v>
      </c>
      <c r="E90" s="1">
        <v>-1183000000</v>
      </c>
      <c r="F90" s="1">
        <v>-1663000000</v>
      </c>
      <c r="G90" s="45"/>
      <c r="H90" s="45"/>
      <c r="I90" s="45"/>
      <c r="J90" s="45"/>
      <c r="K90" s="45"/>
      <c r="L90" s="45"/>
      <c r="M90" s="37" t="s">
        <v>105</v>
      </c>
      <c r="N90" s="46">
        <f>F27</f>
        <v>622000000</v>
      </c>
    </row>
    <row r="91" spans="1:15" ht="20" x14ac:dyDescent="0.25">
      <c r="A91" s="5" t="s">
        <v>76</v>
      </c>
      <c r="B91" s="1">
        <v>-3100000</v>
      </c>
      <c r="C91" s="1">
        <v>-11000000</v>
      </c>
      <c r="D91" s="1">
        <v>-4000000</v>
      </c>
      <c r="E91" s="1">
        <v>-44000000</v>
      </c>
      <c r="F91" s="1">
        <v>-97000000</v>
      </c>
      <c r="G91" s="45"/>
      <c r="H91" s="45"/>
      <c r="I91" s="45"/>
      <c r="J91" s="45"/>
      <c r="K91" s="45"/>
      <c r="L91" s="45"/>
      <c r="M91" s="37" t="s">
        <v>19</v>
      </c>
      <c r="N91" s="46">
        <f>F25</f>
        <v>2154000000</v>
      </c>
    </row>
    <row r="92" spans="1:15" ht="20" x14ac:dyDescent="0.25">
      <c r="A92" s="5" t="s">
        <v>77</v>
      </c>
      <c r="B92" s="1" t="s">
        <v>91</v>
      </c>
      <c r="C92" s="1" t="s">
        <v>91</v>
      </c>
      <c r="D92" s="1" t="s">
        <v>91</v>
      </c>
      <c r="E92" s="1">
        <v>13000000</v>
      </c>
      <c r="F92" s="1">
        <v>6000000</v>
      </c>
      <c r="G92" s="45"/>
      <c r="H92" s="45"/>
      <c r="I92" s="45"/>
      <c r="J92" s="45"/>
      <c r="K92" s="45"/>
      <c r="L92" s="45"/>
      <c r="M92" s="38" t="s">
        <v>131</v>
      </c>
      <c r="N92" s="47">
        <f>N90/N91</f>
        <v>0.28876508820798513</v>
      </c>
      <c r="O92" t="e" vm="2">
        <v>#VALUE!</v>
      </c>
    </row>
    <row r="93" spans="1:15" ht="19" customHeight="1" x14ac:dyDescent="0.25">
      <c r="A93" s="5" t="s">
        <v>78</v>
      </c>
      <c r="B93" s="1">
        <v>5100000</v>
      </c>
      <c r="C93" s="1">
        <v>6000000</v>
      </c>
      <c r="D93" s="1">
        <v>2000000</v>
      </c>
      <c r="E93" s="1">
        <v>5000000</v>
      </c>
      <c r="F93" s="1">
        <v>5000000</v>
      </c>
      <c r="G93" s="45"/>
      <c r="H93" s="45"/>
      <c r="I93" s="45"/>
      <c r="J93" s="45"/>
      <c r="K93" s="45"/>
      <c r="L93" s="45"/>
      <c r="M93" s="38" t="s">
        <v>132</v>
      </c>
      <c r="N93" s="47">
        <f>N89*(1-N92)</f>
        <v>3.5930261087938578E-2</v>
      </c>
      <c r="O93" s="71" cm="1">
        <f t="array" ref="O93">_FV(O92,"Price")</f>
        <v>0.72160000000000002</v>
      </c>
    </row>
    <row r="94" spans="1:15" ht="21" customHeight="1" x14ac:dyDescent="0.25">
      <c r="A94" s="6" t="s">
        <v>79</v>
      </c>
      <c r="B94" s="10">
        <v>-508000000</v>
      </c>
      <c r="C94" s="10">
        <v>-544000000</v>
      </c>
      <c r="D94" s="10">
        <v>-512000000</v>
      </c>
      <c r="E94" s="10">
        <v>-1238000000</v>
      </c>
      <c r="F94" s="10">
        <v>-1694000000</v>
      </c>
      <c r="G94" s="45"/>
      <c r="H94" s="45"/>
      <c r="I94" s="45"/>
      <c r="J94" s="45"/>
      <c r="K94" s="45"/>
      <c r="L94" s="45"/>
      <c r="M94" s="78" t="s">
        <v>133</v>
      </c>
      <c r="N94" s="78"/>
    </row>
    <row r="95" spans="1:15" ht="20" x14ac:dyDescent="0.25">
      <c r="A95" s="5" t="s">
        <v>80</v>
      </c>
      <c r="B95" s="1">
        <v>-500000</v>
      </c>
      <c r="C95" s="1">
        <v>-53000000</v>
      </c>
      <c r="D95" s="1">
        <v>-103000000</v>
      </c>
      <c r="E95" s="1">
        <v>-89000000</v>
      </c>
      <c r="F95" s="1">
        <v>-89000000</v>
      </c>
      <c r="G95" s="45"/>
      <c r="H95" s="45"/>
      <c r="I95" s="45"/>
      <c r="J95" s="45"/>
      <c r="K95" s="45"/>
      <c r="L95" s="45"/>
      <c r="M95" s="37" t="s">
        <v>134</v>
      </c>
      <c r="N95" s="70">
        <f>'[1]US Treasury Bonds'!$C$8</f>
        <v>4.845E-2</v>
      </c>
      <c r="O95" t="e" vm="3">
        <v>#VALUE!</v>
      </c>
    </row>
    <row r="96" spans="1:15" ht="20" x14ac:dyDescent="0.25">
      <c r="A96" s="5" t="s">
        <v>81</v>
      </c>
      <c r="B96" s="1" t="s">
        <v>91</v>
      </c>
      <c r="C96" s="1" t="s">
        <v>91</v>
      </c>
      <c r="D96" s="1" t="s">
        <v>91</v>
      </c>
      <c r="E96" s="1" t="s">
        <v>91</v>
      </c>
      <c r="F96" s="1" t="s">
        <v>91</v>
      </c>
      <c r="G96" s="45"/>
      <c r="H96" s="45"/>
      <c r="I96" s="45"/>
      <c r="J96" s="45"/>
      <c r="K96" s="45"/>
      <c r="L96" s="45"/>
      <c r="M96" s="37" t="s">
        <v>135</v>
      </c>
      <c r="N96" s="49" cm="1">
        <f t="array" ref="N96">_FV(A1,"Beta")</f>
        <v>0.83830000000000005</v>
      </c>
      <c r="O96" s="71" cm="1">
        <f t="array" ref="O96">_FV(O95,"Price")</f>
        <v>1925</v>
      </c>
    </row>
    <row r="97" spans="1:14" ht="20" x14ac:dyDescent="0.25">
      <c r="A97" s="5" t="s">
        <v>82</v>
      </c>
      <c r="B97" s="1" t="s">
        <v>91</v>
      </c>
      <c r="C97" s="1" t="s">
        <v>91</v>
      </c>
      <c r="D97" s="1" t="s">
        <v>91</v>
      </c>
      <c r="E97" s="1" t="s">
        <v>91</v>
      </c>
      <c r="F97" s="1" t="s">
        <v>91</v>
      </c>
      <c r="G97" s="45"/>
      <c r="H97" s="45"/>
      <c r="I97" s="45"/>
      <c r="J97" s="45"/>
      <c r="K97" s="45"/>
      <c r="L97" s="45"/>
      <c r="M97" s="37" t="s">
        <v>136</v>
      </c>
      <c r="N97" s="48">
        <v>8.4000000000000005E-2</v>
      </c>
    </row>
    <row r="98" spans="1:14" ht="19" customHeight="1" x14ac:dyDescent="0.25">
      <c r="A98" s="5" t="s">
        <v>83</v>
      </c>
      <c r="B98" s="1">
        <v>-84800000</v>
      </c>
      <c r="C98" s="1">
        <v>-509000000</v>
      </c>
      <c r="D98" s="1">
        <v>-85000000</v>
      </c>
      <c r="E98" s="1">
        <v>-107000000</v>
      </c>
      <c r="F98" s="1">
        <v>-85000000</v>
      </c>
      <c r="G98" s="45"/>
      <c r="H98" s="45"/>
      <c r="I98" s="45"/>
      <c r="J98" s="45"/>
      <c r="K98" s="45"/>
      <c r="L98" s="45"/>
      <c r="M98" s="38" t="s">
        <v>137</v>
      </c>
      <c r="N98" s="47">
        <f>(N95)+((N96)*(N97-N95))</f>
        <v>7.8251565000000009E-2</v>
      </c>
    </row>
    <row r="99" spans="1:14" ht="20" customHeight="1" x14ac:dyDescent="0.25">
      <c r="A99" s="5" t="s">
        <v>84</v>
      </c>
      <c r="B99" s="1">
        <v>36700000</v>
      </c>
      <c r="C99" s="1">
        <v>66000000</v>
      </c>
      <c r="D99" s="1">
        <v>-59000000</v>
      </c>
      <c r="E99" s="1">
        <v>155000000</v>
      </c>
      <c r="F99" s="1">
        <v>222000000</v>
      </c>
      <c r="G99" s="45"/>
      <c r="H99" s="45"/>
      <c r="I99" s="45"/>
      <c r="J99" s="45"/>
      <c r="K99" s="45"/>
      <c r="L99" s="45"/>
      <c r="M99" s="78" t="s">
        <v>138</v>
      </c>
      <c r="N99" s="78"/>
    </row>
    <row r="100" spans="1:14" ht="20" x14ac:dyDescent="0.25">
      <c r="A100" s="6" t="s">
        <v>85</v>
      </c>
      <c r="B100" s="10">
        <v>-48600000</v>
      </c>
      <c r="C100" s="10">
        <v>-496000000</v>
      </c>
      <c r="D100" s="10">
        <v>-247000000</v>
      </c>
      <c r="E100" s="10">
        <v>-41000000</v>
      </c>
      <c r="F100" s="10">
        <v>-90000000</v>
      </c>
      <c r="G100" s="45"/>
      <c r="H100" s="45"/>
      <c r="I100" s="45"/>
      <c r="J100" s="45"/>
      <c r="K100" s="45"/>
      <c r="L100" s="45"/>
      <c r="M100" s="37" t="s">
        <v>139</v>
      </c>
      <c r="N100" s="46">
        <f>N87+N88</f>
        <v>1544000000</v>
      </c>
    </row>
    <row r="101" spans="1:14" ht="20" x14ac:dyDescent="0.25">
      <c r="A101" s="5" t="s">
        <v>86</v>
      </c>
      <c r="B101" s="1">
        <v>-5800000</v>
      </c>
      <c r="C101" s="1">
        <v>1000000</v>
      </c>
      <c r="D101" s="1">
        <v>15000000</v>
      </c>
      <c r="E101" s="1">
        <v>-16000000</v>
      </c>
      <c r="F101" s="1">
        <v>-79000000</v>
      </c>
      <c r="G101" s="45"/>
      <c r="H101" s="45"/>
      <c r="I101" s="45"/>
      <c r="J101" s="45"/>
      <c r="K101" s="45"/>
      <c r="L101" s="45"/>
      <c r="M101" s="38" t="s">
        <v>140</v>
      </c>
      <c r="N101" s="47">
        <f>N100/N104</f>
        <v>2.6544488666156635E-2</v>
      </c>
    </row>
    <row r="102" spans="1:14" ht="20" x14ac:dyDescent="0.25">
      <c r="A102" s="6" t="s">
        <v>87</v>
      </c>
      <c r="B102" s="10">
        <v>99600000</v>
      </c>
      <c r="C102" s="10">
        <v>-273000000</v>
      </c>
      <c r="D102" s="10">
        <v>442000000</v>
      </c>
      <c r="E102" s="10">
        <v>5000000</v>
      </c>
      <c r="F102" s="10">
        <v>48000000</v>
      </c>
      <c r="G102" s="45"/>
      <c r="H102" s="45"/>
      <c r="I102" s="45"/>
      <c r="J102" s="45"/>
      <c r="K102" s="45"/>
      <c r="L102" s="45"/>
      <c r="M102" s="37" t="s">
        <v>141</v>
      </c>
      <c r="N102" s="50" cm="1">
        <f t="array" ref="N102">_FV(A1,"Market cap",TRUE)</f>
        <v>56622500000</v>
      </c>
    </row>
    <row r="103" spans="1:14" ht="20" x14ac:dyDescent="0.25">
      <c r="A103" s="5" t="s">
        <v>88</v>
      </c>
      <c r="B103" s="1">
        <v>489000000</v>
      </c>
      <c r="C103" s="1">
        <v>589000000</v>
      </c>
      <c r="D103" s="1">
        <v>316000000</v>
      </c>
      <c r="E103" s="1">
        <v>758000000</v>
      </c>
      <c r="F103" s="1">
        <v>763000000</v>
      </c>
      <c r="G103" s="45"/>
      <c r="H103" s="45"/>
      <c r="I103" s="45"/>
      <c r="J103" s="45"/>
      <c r="K103" s="45"/>
      <c r="L103" s="45"/>
      <c r="M103" s="38" t="s">
        <v>142</v>
      </c>
      <c r="N103" s="47">
        <f>N102/N104</f>
        <v>0.97345551133384334</v>
      </c>
    </row>
    <row r="104" spans="1:14" ht="20" customHeight="1" thickBot="1" x14ac:dyDescent="0.3">
      <c r="A104" s="7" t="s">
        <v>89</v>
      </c>
      <c r="B104" s="11">
        <v>588600000</v>
      </c>
      <c r="C104" s="11">
        <v>316000000</v>
      </c>
      <c r="D104" s="11">
        <v>758000000</v>
      </c>
      <c r="E104" s="11">
        <v>763000000</v>
      </c>
      <c r="F104" s="11">
        <v>811000000</v>
      </c>
      <c r="G104" s="76" t="s">
        <v>115</v>
      </c>
      <c r="H104" s="76"/>
      <c r="I104" s="76"/>
      <c r="J104" s="76"/>
      <c r="K104" s="76"/>
      <c r="L104" s="45"/>
      <c r="M104" s="38" t="s">
        <v>143</v>
      </c>
      <c r="N104" s="51">
        <f>N100+N102</f>
        <v>58166500000</v>
      </c>
    </row>
    <row r="105" spans="1:14" ht="21" customHeight="1" thickTop="1" x14ac:dyDescent="0.25">
      <c r="A105" s="14" t="s">
        <v>163</v>
      </c>
      <c r="B105" s="1">
        <f>(B22*(1-$N$92))+B77+B88+B81</f>
        <v>1268491829.1550603</v>
      </c>
      <c r="C105" s="1">
        <f>(C22*(1-$N$92))+C77+C88+C81</f>
        <v>1465125348.1894152</v>
      </c>
      <c r="D105" s="1">
        <f>(D22*(1-$N$92))+D77+D88+D81</f>
        <v>1792318477.2516251</v>
      </c>
      <c r="E105" s="1">
        <f>(E22*(1-$N$92))+E77+E88+E81</f>
        <v>2024838440.1114206</v>
      </c>
      <c r="F105" s="1">
        <f>(F22*(1-$N$92))+F77+F88+F81</f>
        <v>2240042711.2349119</v>
      </c>
      <c r="G105" s="72">
        <f>G107/G3</f>
        <v>0.26600372902423863</v>
      </c>
      <c r="H105" s="72">
        <f>H107/H3</f>
        <v>0.25622584800343495</v>
      </c>
      <c r="I105" s="72">
        <f>I107/I3</f>
        <v>0.25622584800343495</v>
      </c>
      <c r="J105" s="72">
        <f>J107/J3</f>
        <v>0.25622584800343495</v>
      </c>
      <c r="K105" s="72">
        <f>K107/K3</f>
        <v>0.25622584800343495</v>
      </c>
      <c r="L105" s="52" t="s">
        <v>165</v>
      </c>
      <c r="M105" s="78" t="s">
        <v>144</v>
      </c>
      <c r="N105" s="78"/>
    </row>
    <row r="106" spans="1:14" ht="20" x14ac:dyDescent="0.25">
      <c r="A106" s="14" t="s">
        <v>106</v>
      </c>
      <c r="B106" s="1"/>
      <c r="C106" s="15">
        <f t="shared" ref="C106:K106" si="19">(C107/B107)-1</f>
        <v>0.15124862572640185</v>
      </c>
      <c r="D106" s="15">
        <f t="shared" si="19"/>
        <v>0.58390177353342421</v>
      </c>
      <c r="E106" s="15">
        <f t="shared" si="19"/>
        <v>9.4745908699397141E-2</v>
      </c>
      <c r="F106" s="15">
        <f t="shared" si="19"/>
        <v>4.6420141620771016E-2</v>
      </c>
      <c r="G106" s="53">
        <f t="shared" si="19"/>
        <v>0.60902255639097747</v>
      </c>
      <c r="H106" s="53">
        <f t="shared" si="19"/>
        <v>0.11542056074766349</v>
      </c>
      <c r="I106" s="53">
        <f t="shared" si="19"/>
        <v>0.10025762129669391</v>
      </c>
      <c r="J106" s="53">
        <f t="shared" si="19"/>
        <v>9.2682926829268375E-2</v>
      </c>
      <c r="K106" s="53">
        <f t="shared" si="19"/>
        <v>7.1428571428571397E-2</v>
      </c>
      <c r="L106" s="54">
        <f>SUM(G106:K106)/5</f>
        <v>0.19776244733863493</v>
      </c>
      <c r="M106" s="39" t="s">
        <v>107</v>
      </c>
      <c r="N106" s="55">
        <f>(N101*N93)+(N103*N98)</f>
        <v>7.7128167627969327E-2</v>
      </c>
    </row>
    <row r="107" spans="1:14" ht="19" x14ac:dyDescent="0.25">
      <c r="A107" s="36" t="s">
        <v>164</v>
      </c>
      <c r="B107" s="1">
        <v>636700000</v>
      </c>
      <c r="C107" s="1">
        <v>733000000</v>
      </c>
      <c r="D107" s="1">
        <v>1161000000</v>
      </c>
      <c r="E107" s="1">
        <v>1271000000</v>
      </c>
      <c r="F107" s="1">
        <v>1330000000</v>
      </c>
      <c r="G107" s="56">
        <v>2140000000</v>
      </c>
      <c r="H107" s="56">
        <v>2387000000</v>
      </c>
      <c r="I107" s="56">
        <f>+H107*(1+I4)</f>
        <v>2626314942.0352082</v>
      </c>
      <c r="J107" s="56">
        <f>+I107*(1+J4)</f>
        <v>2869729497.6384716</v>
      </c>
      <c r="K107" s="56">
        <f>+J107*(1+K4)</f>
        <v>3074710176.0412197</v>
      </c>
      <c r="L107" s="57" t="s">
        <v>162</v>
      </c>
      <c r="M107" s="58" t="s">
        <v>145</v>
      </c>
      <c r="N107" s="40">
        <f>(SUM(G4:K4)/5)</f>
        <v>0.12744904157340961</v>
      </c>
    </row>
    <row r="108" spans="1:14" ht="19" x14ac:dyDescent="0.2">
      <c r="G108" s="73"/>
      <c r="H108" s="73"/>
      <c r="I108" s="73"/>
      <c r="J108" s="73"/>
      <c r="K108" s="59">
        <f>K107*(1+N108)/(N109-N108)</f>
        <v>60458252684.701569</v>
      </c>
      <c r="L108" s="60" t="s">
        <v>146</v>
      </c>
      <c r="M108" s="61" t="s">
        <v>147</v>
      </c>
      <c r="N108" s="41">
        <v>2.5000000000000001E-2</v>
      </c>
    </row>
    <row r="109" spans="1:14" ht="19" x14ac:dyDescent="0.2">
      <c r="G109" s="59">
        <f>G108+G107</f>
        <v>2140000000</v>
      </c>
      <c r="H109" s="59">
        <f>H108+H107</f>
        <v>2387000000</v>
      </c>
      <c r="I109" s="59">
        <f>I108+I107</f>
        <v>2626314942.0352082</v>
      </c>
      <c r="J109" s="59">
        <f>J108+J107</f>
        <v>2869729497.6384716</v>
      </c>
      <c r="K109" s="59">
        <f>K108+K107</f>
        <v>63532962860.74279</v>
      </c>
      <c r="L109" s="60" t="s">
        <v>143</v>
      </c>
      <c r="M109" s="62" t="s">
        <v>148</v>
      </c>
      <c r="N109" s="40">
        <f>N106</f>
        <v>7.7128167627969327E-2</v>
      </c>
    </row>
    <row r="110" spans="1:14" ht="19" x14ac:dyDescent="0.2">
      <c r="G110" s="77" t="s">
        <v>149</v>
      </c>
      <c r="H110" s="77"/>
      <c r="I110" s="45"/>
      <c r="J110" s="45"/>
      <c r="K110" s="45"/>
      <c r="L110" s="45"/>
      <c r="M110" s="45"/>
      <c r="N110" s="45"/>
    </row>
    <row r="111" spans="1:14" ht="20" x14ac:dyDescent="0.2">
      <c r="G111" s="63" t="s">
        <v>150</v>
      </c>
      <c r="H111" s="50">
        <f>NPV(N109,G109,H109,I109,J109,K109)</f>
        <v>52096628674.215897</v>
      </c>
      <c r="I111" s="45"/>
      <c r="J111" s="45"/>
      <c r="K111" s="45"/>
      <c r="L111" s="45"/>
      <c r="M111" s="45"/>
      <c r="N111" s="45"/>
    </row>
    <row r="112" spans="1:14" ht="20" x14ac:dyDescent="0.2">
      <c r="G112" s="63" t="s">
        <v>151</v>
      </c>
      <c r="H112" s="50">
        <f>F40</f>
        <v>926000000</v>
      </c>
      <c r="I112" s="45"/>
      <c r="J112" s="45"/>
      <c r="K112" s="45"/>
      <c r="L112" s="45"/>
      <c r="M112" s="45"/>
      <c r="N112" s="45"/>
    </row>
    <row r="113" spans="7:14" ht="20" x14ac:dyDescent="0.2">
      <c r="G113" s="63" t="s">
        <v>139</v>
      </c>
      <c r="H113" s="50">
        <f>N100</f>
        <v>1544000000</v>
      </c>
      <c r="I113" s="45"/>
      <c r="J113" s="45"/>
      <c r="K113" s="45"/>
      <c r="L113" s="45"/>
      <c r="M113" s="45"/>
      <c r="N113" s="45"/>
    </row>
    <row r="114" spans="7:14" ht="20" x14ac:dyDescent="0.2">
      <c r="G114" s="63" t="s">
        <v>152</v>
      </c>
      <c r="H114" s="50">
        <f>H111+H112-H113</f>
        <v>51478628674.215897</v>
      </c>
      <c r="I114" s="45"/>
      <c r="J114" s="45"/>
      <c r="K114" s="45"/>
      <c r="L114" s="45"/>
      <c r="M114" s="45"/>
      <c r="N114" s="45"/>
    </row>
    <row r="115" spans="7:14" ht="20" x14ac:dyDescent="0.2">
      <c r="G115" s="63" t="s">
        <v>157</v>
      </c>
      <c r="H115" s="63">
        <f>F34*(1+(5*L16))</f>
        <v>23433152.449173201</v>
      </c>
      <c r="I115" s="45"/>
      <c r="J115" s="45"/>
      <c r="K115" s="45"/>
      <c r="L115" s="45"/>
      <c r="M115" s="45"/>
      <c r="N115" s="45"/>
    </row>
    <row r="116" spans="7:14" ht="20" x14ac:dyDescent="0.2">
      <c r="G116" s="64" t="s">
        <v>153</v>
      </c>
      <c r="H116" s="65">
        <f>H114/H115</f>
        <v>2196.8289919964327</v>
      </c>
      <c r="I116" s="45"/>
      <c r="J116" s="45"/>
      <c r="K116" s="45"/>
      <c r="L116" s="45"/>
      <c r="M116" s="45"/>
      <c r="N116" s="45"/>
    </row>
    <row r="117" spans="7:14" ht="20" x14ac:dyDescent="0.2">
      <c r="G117" s="63" t="s">
        <v>154</v>
      </c>
      <c r="H117" s="66" cm="1">
        <f t="array" ref="H117">_FV(A1,"Price")</f>
        <v>2671.94</v>
      </c>
      <c r="I117" s="45"/>
      <c r="J117" s="45"/>
      <c r="K117" s="45"/>
      <c r="L117" s="45"/>
      <c r="M117" s="45"/>
      <c r="N117" s="45"/>
    </row>
    <row r="118" spans="7:14" ht="20" x14ac:dyDescent="0.2">
      <c r="G118" s="64" t="s">
        <v>155</v>
      </c>
      <c r="H118" s="67">
        <f>H116/H117-1</f>
        <v>-0.17781499884112939</v>
      </c>
      <c r="I118" s="45"/>
      <c r="J118" s="45"/>
      <c r="K118" s="45"/>
      <c r="L118" s="45"/>
      <c r="M118" s="45"/>
      <c r="N118" s="45"/>
    </row>
    <row r="119" spans="7:14" ht="20" x14ac:dyDescent="0.2">
      <c r="G119" s="64" t="s">
        <v>156</v>
      </c>
      <c r="H119" s="68" t="str">
        <f>IF(H116&gt;H117,"BUY","SELL")</f>
        <v>SELL</v>
      </c>
      <c r="I119" s="45"/>
      <c r="J119" s="45"/>
      <c r="K119" s="45"/>
      <c r="L119" s="45"/>
      <c r="M119" s="45"/>
      <c r="N119" s="45"/>
    </row>
  </sheetData>
  <mergeCells count="7">
    <mergeCell ref="M84:N84"/>
    <mergeCell ref="G104:K104"/>
    <mergeCell ref="G110:H110"/>
    <mergeCell ref="M105:N105"/>
    <mergeCell ref="M99:N99"/>
    <mergeCell ref="M94:N94"/>
    <mergeCell ref="M85:N85"/>
  </mergeCells>
  <hyperlinks>
    <hyperlink ref="A1" r:id="rId1" tooltip="https://roic.ai/company/CSU.TO" display="ROIC.AI | CSU.TO" xr:uid="{00000000-0004-0000-0000-000000000000}"/>
    <hyperlink ref="B36" r:id="rId2" tooltip="https://www.sedar.com/ModifyCompanyDocumentSearchForm.do?lang=EN&amp;company_search=Constellation Software Inc.&amp;document_selection=0&amp;industry_group=A&amp;FromDate=13&amp;FromMonth=05&amp;FromYear=2000&amp;ToDate=13&amp;ToMonth=11&amp;ToYear=2020&amp;Variable=Issuer" xr:uid="{00000000-0004-0000-0000-00002E000000}"/>
    <hyperlink ref="B74" r:id="rId3" tooltip="https://www.sedar.com/ModifyCompanyDocumentSearchForm.do?lang=EN&amp;company_search=Constellation Software Inc.&amp;document_selection=0&amp;industry_group=A&amp;FromDate=13&amp;FromMonth=05&amp;FromYear=2000&amp;ToDate=13&amp;ToMonth=11&amp;ToYear=2020&amp;Variable=Issuer" xr:uid="{00000000-0004-0000-0000-00002F000000}"/>
    <hyperlink ref="C36" r:id="rId4" tooltip="https://www.sedar.com/ModifyCompanyDocumentSearchForm.do?lang=EN&amp;company_search=Constellation Software Inc.&amp;document_selection=0&amp;industry_group=A&amp;FromDate=13&amp;FromMonth=05&amp;FromYear=2000&amp;ToDate=13&amp;ToMonth=11&amp;ToYear=2020&amp;Variable=Issuer" xr:uid="{00000000-0004-0000-0000-000031000000}"/>
    <hyperlink ref="C74" r:id="rId5" tooltip="https://www.sedar.com/ModifyCompanyDocumentSearchForm.do?lang=EN&amp;company_search=Constellation Software Inc.&amp;document_selection=0&amp;industry_group=A&amp;FromDate=13&amp;FromMonth=05&amp;FromYear=2000&amp;ToDate=13&amp;ToMonth=11&amp;ToYear=2020&amp;Variable=Issuer" xr:uid="{00000000-0004-0000-0000-000032000000}"/>
    <hyperlink ref="D36" r:id="rId6" tooltip="https://www.sedar.com/ModifyCompanyDocumentSearchForm.do?lang=EN&amp;company_search=Constellation Software Inc.&amp;document_selection=0&amp;industry_group=A&amp;FromDate=13&amp;FromMonth=05&amp;FromYear=2000&amp;ToDate=13&amp;ToMonth=11&amp;ToYear=2020&amp;Variable=Issuer" xr:uid="{00000000-0004-0000-0000-000034000000}"/>
    <hyperlink ref="D74" r:id="rId7" tooltip="https://www.sedar.com/ModifyCompanyDocumentSearchForm.do?lang=EN&amp;company_search=Constellation Software Inc.&amp;document_selection=0&amp;industry_group=A&amp;FromDate=13&amp;FromMonth=05&amp;FromYear=2000&amp;ToDate=13&amp;ToMonth=11&amp;ToYear=2020&amp;Variable=Issuer" xr:uid="{00000000-0004-0000-0000-000035000000}"/>
    <hyperlink ref="E36" r:id="rId8" tooltip="https://www.sedar.com/ModifyCompanyDocumentSearchForm.do?lang=EN&amp;company_search=Constellation Software Inc.&amp;document_selection=0&amp;industry_group=A&amp;FromDate=13&amp;FromMonth=05&amp;FromYear=2000&amp;ToDate=13&amp;ToMonth=11&amp;ToYear=2020&amp;Variable=Issuer" xr:uid="{00000000-0004-0000-0000-000037000000}"/>
    <hyperlink ref="E74" r:id="rId9" tooltip="https://www.sedar.com/ModifyCompanyDocumentSearchForm.do?lang=EN&amp;company_search=Constellation Software Inc.&amp;document_selection=0&amp;industry_group=A&amp;FromDate=13&amp;FromMonth=05&amp;FromYear=2000&amp;ToDate=13&amp;ToMonth=11&amp;ToYear=2020&amp;Variable=Issuer" xr:uid="{00000000-0004-0000-0000-000038000000}"/>
    <hyperlink ref="F36" r:id="rId10" tooltip="https://www.sedar.com/ModifyCompanyDocumentSearchForm.do?lang=EN&amp;company_search=Constellation Software Inc.&amp;document_selection=0&amp;industry_group=A&amp;FromDate=13&amp;FromMonth=05&amp;FromYear=2000&amp;ToDate=13&amp;ToMonth=11&amp;ToYear=2020&amp;Variable=Issuer" xr:uid="{CDDF8FB7-4D0C-FD43-B1F6-6BB75457972A}"/>
    <hyperlink ref="F74" r:id="rId11" tooltip="https://www.sedar.com/ModifyCompanyDocumentSearchForm.do?lang=EN&amp;company_search=Constellation Software Inc.&amp;document_selection=0&amp;industry_group=A&amp;FromDate=13&amp;FromMonth=05&amp;FromYear=2000&amp;ToDate=13&amp;ToMonth=11&amp;ToYear=2020&amp;Variable=Issuer" xr:uid="{8DB46733-2885-4344-A1CE-AD12FDFA6658}"/>
    <hyperlink ref="G1" r:id="rId12" display="https://finbox.com/TSX:CSU/models/dcf-revenue-exit-5yr" xr:uid="{7AC97402-8CAE-F240-8C8C-5E21B418FD6C}"/>
    <hyperlink ref="L107" r:id="rId13" xr:uid="{EB5E80A8-A179-C845-98C4-7A7B1DAC9E2E}"/>
  </hyperlinks>
  <pageMargins left="0.7" right="0.7" top="0.75" bottom="0.75" header="0.3" footer="0.3"/>
  <drawing r:id="rId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2023-03-13T23:50:29Z</dcterms:created>
  <dcterms:modified xsi:type="dcterms:W3CDTF">2023-10-30T07:24:57Z</dcterms:modified>
</cp:coreProperties>
</file>