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836DD87-A73C-D34E-A59F-CC554A5A826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5" i="1" l="1"/>
  <c r="K105" i="1"/>
  <c r="J105" i="1"/>
  <c r="I105" i="1"/>
  <c r="H105" i="1"/>
  <c r="P7" i="1"/>
  <c r="O7" i="1"/>
  <c r="N7" i="1"/>
  <c r="M7" i="1"/>
  <c r="H6" i="1"/>
  <c r="H34" i="1" a="1"/>
  <c r="H34" i="1" s="1"/>
  <c r="H35" i="1" s="1"/>
  <c r="M16" i="1" s="1"/>
  <c r="H33" i="1" a="1"/>
  <c r="H33" i="1" s="1"/>
  <c r="N22" i="1"/>
  <c r="L106" i="1"/>
  <c r="K106" i="1"/>
  <c r="J106" i="1"/>
  <c r="I106" i="1"/>
  <c r="H106" i="1"/>
  <c r="I117" i="1" a="1"/>
  <c r="I117" i="1" s="1"/>
  <c r="H109" i="1"/>
  <c r="I109" i="1"/>
  <c r="J109" i="1"/>
  <c r="K109" i="1"/>
  <c r="B105" i="1"/>
  <c r="C105" i="1"/>
  <c r="D105" i="1"/>
  <c r="E105" i="1"/>
  <c r="F105" i="1"/>
  <c r="G105" i="1"/>
  <c r="I21" i="1"/>
  <c r="J21" i="1"/>
  <c r="K21" i="1"/>
  <c r="L21" i="1"/>
  <c r="H21" i="1"/>
  <c r="I30" i="1"/>
  <c r="J30" i="1"/>
  <c r="K30" i="1"/>
  <c r="L30" i="1"/>
  <c r="H30" i="1"/>
  <c r="H29" i="1"/>
  <c r="I29" i="1"/>
  <c r="J29" i="1"/>
  <c r="K29" i="1"/>
  <c r="L29" i="1"/>
  <c r="H20" i="1"/>
  <c r="I20" i="1"/>
  <c r="J20" i="1"/>
  <c r="K20" i="1"/>
  <c r="L20" i="1"/>
  <c r="O102" i="1" a="1"/>
  <c r="O102" i="1" s="1"/>
  <c r="P22" i="1" s="1"/>
  <c r="O96" i="1" a="1"/>
  <c r="O96" i="1" s="1"/>
  <c r="F106" i="1"/>
  <c r="G106" i="1"/>
  <c r="F89" i="1"/>
  <c r="G89" i="1"/>
  <c r="F80" i="1"/>
  <c r="G80" i="1"/>
  <c r="F35" i="1"/>
  <c r="G35" i="1"/>
  <c r="F29" i="1"/>
  <c r="G29" i="1"/>
  <c r="O4" i="1" s="1"/>
  <c r="F13" i="1"/>
  <c r="G13" i="1"/>
  <c r="F9" i="1"/>
  <c r="G9" i="1"/>
  <c r="F20" i="1"/>
  <c r="G20" i="1"/>
  <c r="I112" i="1"/>
  <c r="O91" i="1"/>
  <c r="O90" i="1"/>
  <c r="O92" i="1" s="1"/>
  <c r="O88" i="1"/>
  <c r="O87" i="1"/>
  <c r="O100" i="1" s="1"/>
  <c r="O86" i="1"/>
  <c r="O89" i="1" s="1"/>
  <c r="M19" i="1"/>
  <c r="P13" i="1"/>
  <c r="O13" i="1"/>
  <c r="N13" i="1"/>
  <c r="M13" i="1"/>
  <c r="P10" i="1"/>
  <c r="O10" i="1"/>
  <c r="N10" i="1"/>
  <c r="M10" i="1"/>
  <c r="N4" i="1"/>
  <c r="M4" i="1"/>
  <c r="L4" i="1"/>
  <c r="K4" i="1"/>
  <c r="J4" i="1"/>
  <c r="I4" i="1"/>
  <c r="H4" i="1"/>
  <c r="E106" i="1"/>
  <c r="D106" i="1"/>
  <c r="C106" i="1"/>
  <c r="E89" i="1"/>
  <c r="D89" i="1"/>
  <c r="C89" i="1"/>
  <c r="B89" i="1"/>
  <c r="E80" i="1"/>
  <c r="D80" i="1"/>
  <c r="C80" i="1"/>
  <c r="B80" i="1"/>
  <c r="E35" i="1"/>
  <c r="D35" i="1"/>
  <c r="C35" i="1"/>
  <c r="E29" i="1"/>
  <c r="D29" i="1"/>
  <c r="C29" i="1"/>
  <c r="E20" i="1"/>
  <c r="D20" i="1"/>
  <c r="C20" i="1"/>
  <c r="E13" i="1"/>
  <c r="D13" i="1"/>
  <c r="C13" i="1"/>
  <c r="B13" i="1"/>
  <c r="E9" i="1"/>
  <c r="D9" i="1"/>
  <c r="C9" i="1"/>
  <c r="B9" i="1"/>
  <c r="G4" i="1"/>
  <c r="F4" i="1"/>
  <c r="E4" i="1"/>
  <c r="D4" i="1"/>
  <c r="C4" i="1"/>
  <c r="I115" i="1" l="1"/>
  <c r="M106" i="1"/>
  <c r="N19" i="1"/>
  <c r="O19" i="1"/>
  <c r="P19" i="1"/>
  <c r="O22" i="1"/>
  <c r="P4" i="1"/>
  <c r="O107" i="1"/>
  <c r="O93" i="1"/>
  <c r="O16" i="1"/>
  <c r="P16" i="1"/>
  <c r="N16" i="1"/>
  <c r="O104" i="1"/>
  <c r="O103" i="1" s="1"/>
  <c r="I113" i="1"/>
  <c r="O101" i="1" l="1"/>
  <c r="O95" i="1" l="1"/>
  <c r="O98" i="1" s="1"/>
  <c r="O106" i="1" s="1"/>
  <c r="O109" i="1" s="1"/>
  <c r="L108" i="1" s="1"/>
  <c r="L109" i="1" s="1"/>
  <c r="I111" i="1" s="1"/>
  <c r="I114" i="1" s="1"/>
  <c r="I116" i="1" s="1"/>
  <c r="I119" i="1" l="1"/>
  <c r="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<sst xmlns="http://schemas.openxmlformats.org/spreadsheetml/2006/main" count="300" uniqueCount="168">
  <si>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</si>
  <si>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</si>
  <si>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</si>
  <si>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</si>
  <si>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</si>
  <si>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</si>
  <si>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</si>
  <si>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</si>
  <si>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</si>
  <si>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</si>
  <si>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</si>
  <si>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</si>
  <si>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</si>
  <si>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</si>
  <si>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</si>
  <si>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</si>
  <si>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</si>
  <si>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</si>
  <si>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</si>
  <si>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</si>
  <si>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</si>
  <si>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</si>
  <si>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</si>
  <si>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</si>
  <si>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</si>
  <si>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</si>
  <si>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</si>
  <si>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</si>
  <si>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</si>
  <si>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</si>
  <si>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</si>
  <si>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</si>
  <si>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</si>
  <si>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</si>
  <si>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</si>
  <si>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</si>
  <si>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</si>
  <si>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</si>
  <si>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</si>
  <si>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</si>
  <si>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</si>
  <si>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</si>
  <si>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</si>
  <si>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</si>
  <si>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</si>
  <si>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</si>
  <si>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</si>
  <si>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</si>
  <si>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</si>
  <si>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</si>
  <si>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</si>
  <si>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</si>
  <si>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</si>
  <si>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</si>
  <si>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</si>
  <si>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</si>
  <si>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</si>
  <si>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</si>
  <si>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</si>
  <si>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</si>
  <si>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</si>
  <si>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</si>
  <si>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</si>
  <si>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</si>
  <si>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</si>
  <si>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</si>
  <si>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</si>
  <si>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</si>
  <si>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</si>
  <si>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</si>
  <si>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</si>
  <si>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</si>
  <si>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</si>
  <si>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</si>
  <si>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</si>
  <si>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</si>
  <si>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</si>
  <si>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</si>
  <si>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</si>
  <si>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</si>
  <si>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</si>
  <si>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</si>
  <si>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</si>
  <si>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</si>
  <si>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</si>
  <si>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</si>
  <si>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</si>
  <si>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</si>
  <si>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</si>
  <si>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</si>
  <si>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</si>
  <si>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</si>
  <si>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</si>
  <si>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</si>
  <si>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</si>
  <si>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</si>
  <si>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</si>
  <si>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</si>
  <si>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</si>
  <si>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</si>
  <si>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</si>
  <si>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</si>
  <si>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</si>
  <si>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</si>
  <si>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</si>
  <si>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</si>
  <si>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</si>
  <si>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</si>
  <si>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</si>
  <si>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</si>
  <si>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</si>
  <si>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</si>
  <si>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</si>
  <si>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</si>
  <si>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</si>
  <si>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</si>
  <si>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</si>
  <si>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</si>
  <si>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</si>
  <si>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</si>
  <si>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</si>
  <si>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</si>
  <si>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</si>
  <si>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</si>
  <si>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</si>
  <si>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</si>
  <si>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</si>
  <si>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</si>
  <si>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</si>
  <si>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</si>
  <si>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</si>
  <si>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</si>
  <si>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</si>
  <si>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</si>
  <si>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</si>
  <si>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</si>
  <si>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</si>
  <si>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</si>
  <si>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</si>
  <si>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</si>
  <si>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</si>
  <si>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</si>
  <si>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</si>
  <si>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</si>
  <si>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</si>
  <si>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</si>
  <si>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</si>
  <si>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</si>
  <si>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</si>
  <si>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</si>
  <si>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</si>
  <si>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</si>
  <si>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</si>
  <si>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</si>
  <si>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</si>
  <si>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(5yr)</t>
  </si>
  <si>
    <t>Unlevered FCF</t>
  </si>
  <si>
    <t>Levered FCF Growth YoY</t>
  </si>
  <si>
    <t>Levered FCF</t>
  </si>
  <si>
    <t>Unlevered FCF Forecast</t>
  </si>
  <si>
    <t>Forward P/S</t>
  </si>
  <si>
    <t>Forward P/E</t>
  </si>
  <si>
    <t>Forward P/FCF</t>
  </si>
  <si>
    <t>Dividend Yield</t>
  </si>
  <si>
    <t>5Y Fwd FCF CAGR</t>
  </si>
  <si>
    <t>Forward FCF Yield</t>
  </si>
  <si>
    <t>4Y Fwd Income CAGR</t>
  </si>
  <si>
    <t>Shares Outstanding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</si>
</sst>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0" fontId="12" fillId="5" borderId="7" xfId="0" applyFont="1" applyFill="1" applyBorder="1" applyAlignment="1">
      <alignment horizontal="center" vertical="center" wrapText="1"/>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9" fontId="11" fillId="0" borderId="0" xfId="0" applyNumberFormat="1" applyFont="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10" fontId="11" fillId="4" borderId="0" xfId="0" applyNumberFormat="1" applyFont="1" applyFill="1"/>
    <xf numFmtId="165" fontId="10" fillId="4" borderId="0" xfId="0" applyNumberFormat="1" applyFont="1" applyFill="1" applyAlignment="1">
      <alignment vertical="center"/>
    </xf>
    <xf numFmtId="0" fontId="0" fillId="4" borderId="0" xfId="0" applyFill="1" applyAlignment="1">
      <alignment horizontal="center" vertical="center"/>
    </xf>
    <xf numFmtId="0" fontId="0" fillId="7"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Datadog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74418604651162E-2"/>
          <c:y val="0.13781806575109271"/>
          <c:w val="0.83549501661129566"/>
          <c:h val="0.63348966828557285"/>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1'!$B$1:$L$1</c:f>
              <c:numCache>
                <c:formatCode>General</c:formatCode>
                <c:ptCount val="11"/>
                <c:pt idx="0">
                  <c:v>2017</c:v>
                </c:pt>
                <c:pt idx="1">
                  <c:v>2018</c:v>
                </c:pt>
                <c:pt idx="2">
                  <c:v>2019</c:v>
                </c:pt>
                <c:pt idx="3">
                  <c:v>2020</c:v>
                </c:pt>
                <c:pt idx="4">
                  <c:v>2021</c:v>
                </c:pt>
                <c:pt idx="5">
                  <c:v>2022</c:v>
                </c:pt>
                <c:pt idx="6">
                  <c:v>2023</c:v>
                </c:pt>
                <c:pt idx="7">
                  <c:v>2024</c:v>
                </c:pt>
                <c:pt idx="8">
                  <c:v>2025</c:v>
                </c:pt>
                <c:pt idx="9">
                  <c:v>2026</c:v>
                </c:pt>
                <c:pt idx="10">
                  <c:v>2027</c:v>
                </c:pt>
              </c:numCache>
            </c:numRef>
          </c:cat>
          <c:val>
            <c:numRef>
              <c:f>'Sheet 1'!$B$3:$L$3</c:f>
              <c:numCache>
                <c:formatCode>#,###,,;\(#,###,,\);\ \-\ \-</c:formatCode>
                <c:ptCount val="11"/>
                <c:pt idx="0">
                  <c:v>100761000</c:v>
                </c:pt>
                <c:pt idx="1">
                  <c:v>198077000</c:v>
                </c:pt>
                <c:pt idx="2">
                  <c:v>362780000</c:v>
                </c:pt>
                <c:pt idx="3">
                  <c:v>603466000</c:v>
                </c:pt>
                <c:pt idx="4">
                  <c:v>1028784000</c:v>
                </c:pt>
                <c:pt idx="5">
                  <c:v>1675100000</c:v>
                </c:pt>
                <c:pt idx="6">
                  <c:v>2055000000</c:v>
                </c:pt>
                <c:pt idx="7">
                  <c:v>2548000000</c:v>
                </c:pt>
                <c:pt idx="8">
                  <c:v>3220000000</c:v>
                </c:pt>
                <c:pt idx="9">
                  <c:v>4145000000</c:v>
                </c:pt>
                <c:pt idx="10">
                  <c:v>5071000000</c:v>
                </c:pt>
              </c:numCache>
            </c:numRef>
          </c:val>
          <c:extLst>
            <c:ext xmlns:c16="http://schemas.microsoft.com/office/drawing/2014/chart" uri="{C3380CC4-5D6E-409C-BE32-E72D297353CC}">
              <c16:uniqueId val="{00000000-A5FB-5B4D-93F3-40511A9D7827}"/>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1'!$B$1:$L$1</c:f>
              <c:numCache>
                <c:formatCode>General</c:formatCode>
                <c:ptCount val="11"/>
                <c:pt idx="0">
                  <c:v>2017</c:v>
                </c:pt>
                <c:pt idx="1">
                  <c:v>2018</c:v>
                </c:pt>
                <c:pt idx="2">
                  <c:v>2019</c:v>
                </c:pt>
                <c:pt idx="3">
                  <c:v>2020</c:v>
                </c:pt>
                <c:pt idx="4">
                  <c:v>2021</c:v>
                </c:pt>
                <c:pt idx="5">
                  <c:v>2022</c:v>
                </c:pt>
                <c:pt idx="6">
                  <c:v>2023</c:v>
                </c:pt>
                <c:pt idx="7">
                  <c:v>2024</c:v>
                </c:pt>
                <c:pt idx="8">
                  <c:v>2025</c:v>
                </c:pt>
                <c:pt idx="9">
                  <c:v>2026</c:v>
                </c:pt>
                <c:pt idx="10">
                  <c:v>2027</c:v>
                </c:pt>
              </c:numCache>
            </c:numRef>
          </c:cat>
          <c:val>
            <c:numRef>
              <c:f>'Sheet 1'!$B$28:$L$28</c:f>
              <c:numCache>
                <c:formatCode>#,###,,;\(#,###,,\);\ \-\ \-</c:formatCode>
                <c:ptCount val="11"/>
                <c:pt idx="0">
                  <c:v>-2570000</c:v>
                </c:pt>
                <c:pt idx="1">
                  <c:v>-10762000</c:v>
                </c:pt>
                <c:pt idx="2">
                  <c:v>-16710000</c:v>
                </c:pt>
                <c:pt idx="3">
                  <c:v>-24547000</c:v>
                </c:pt>
                <c:pt idx="4">
                  <c:v>-20745000</c:v>
                </c:pt>
                <c:pt idx="5">
                  <c:v>-50160000</c:v>
                </c:pt>
                <c:pt idx="6">
                  <c:v>464000000</c:v>
                </c:pt>
                <c:pt idx="7">
                  <c:v>559000000</c:v>
                </c:pt>
                <c:pt idx="8">
                  <c:v>741100000</c:v>
                </c:pt>
                <c:pt idx="9">
                  <c:v>1152000000</c:v>
                </c:pt>
                <c:pt idx="10">
                  <c:v>1463000000</c:v>
                </c:pt>
              </c:numCache>
            </c:numRef>
          </c:val>
          <c:extLst>
            <c:ext xmlns:c16="http://schemas.microsoft.com/office/drawing/2014/chart" uri="{C3380CC4-5D6E-409C-BE32-E72D297353CC}">
              <c16:uniqueId val="{00000001-A5FB-5B4D-93F3-40511A9D7827}"/>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1'!$B$1:$L$1</c:f>
              <c:numCache>
                <c:formatCode>General</c:formatCode>
                <c:ptCount val="11"/>
                <c:pt idx="0">
                  <c:v>2017</c:v>
                </c:pt>
                <c:pt idx="1">
                  <c:v>2018</c:v>
                </c:pt>
                <c:pt idx="2">
                  <c:v>2019</c:v>
                </c:pt>
                <c:pt idx="3">
                  <c:v>2020</c:v>
                </c:pt>
                <c:pt idx="4">
                  <c:v>2021</c:v>
                </c:pt>
                <c:pt idx="5">
                  <c:v>2022</c:v>
                </c:pt>
                <c:pt idx="6">
                  <c:v>2023</c:v>
                </c:pt>
                <c:pt idx="7">
                  <c:v>2024</c:v>
                </c:pt>
                <c:pt idx="8">
                  <c:v>2025</c:v>
                </c:pt>
                <c:pt idx="9">
                  <c:v>2026</c:v>
                </c:pt>
                <c:pt idx="10">
                  <c:v>2027</c:v>
                </c:pt>
              </c:numCache>
            </c:numRef>
          </c:cat>
          <c:val>
            <c:numRef>
              <c:f>'Sheet 1'!$B$107:$L$107</c:f>
              <c:numCache>
                <c:formatCode>#,###,,;\(#,###,,\);\ \-\ \-</c:formatCode>
                <c:ptCount val="11"/>
                <c:pt idx="0">
                  <c:v>6029000</c:v>
                </c:pt>
                <c:pt idx="1">
                  <c:v>-5009000</c:v>
                </c:pt>
                <c:pt idx="2">
                  <c:v>791000</c:v>
                </c:pt>
                <c:pt idx="3">
                  <c:v>83208000</c:v>
                </c:pt>
                <c:pt idx="4">
                  <c:v>250520000</c:v>
                </c:pt>
                <c:pt idx="5">
                  <c:v>353518000</c:v>
                </c:pt>
                <c:pt idx="6">
                  <c:v>309600000</c:v>
                </c:pt>
                <c:pt idx="7">
                  <c:v>358300000</c:v>
                </c:pt>
                <c:pt idx="8">
                  <c:v>539000000</c:v>
                </c:pt>
                <c:pt idx="9">
                  <c:v>707000000</c:v>
                </c:pt>
                <c:pt idx="10">
                  <c:v>845000000</c:v>
                </c:pt>
              </c:numCache>
            </c:numRef>
          </c:val>
          <c:extLst>
            <c:ext xmlns:c16="http://schemas.microsoft.com/office/drawing/2014/chart" uri="{C3380CC4-5D6E-409C-BE32-E72D297353CC}">
              <c16:uniqueId val="{00000002-A5FB-5B4D-93F3-40511A9D7827}"/>
            </c:ext>
          </c:extLst>
        </c:ser>
        <c:dLbls>
          <c:showLegendKey val="0"/>
          <c:showVal val="0"/>
          <c:showCatName val="0"/>
          <c:showSerName val="0"/>
          <c:showPercent val="0"/>
          <c:showBubbleSize val="0"/>
        </c:dLbls>
        <c:gapWidth val="150"/>
        <c:overlap val="100"/>
        <c:axId val="1509379600"/>
        <c:axId val="1508936512"/>
      </c:barChart>
      <c:catAx>
        <c:axId val="15093796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8936512"/>
        <c:crosses val="autoZero"/>
        <c:auto val="1"/>
        <c:lblAlgn val="ctr"/>
        <c:lblOffset val="100"/>
        <c:noMultiLvlLbl val="0"/>
      </c:catAx>
      <c:valAx>
        <c:axId val="150893651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9379600"/>
        <c:crosses val="autoZero"/>
        <c:crossBetween val="between"/>
      </c:valAx>
      <c:spPr>
        <a:noFill/>
        <a:ln>
          <a:noFill/>
        </a:ln>
        <a:effectLst/>
      </c:spPr>
    </c:plotArea>
    <c:legend>
      <c:legendPos val="b"/>
      <c:layout>
        <c:manualLayout>
          <c:xMode val="edge"/>
          <c:yMode val="edge"/>
          <c:x val="0.34498579538022861"/>
          <c:y val="0.89126927664300104"/>
          <c:w val="0.31680583744618879"/>
          <c:h val="6.05097132906321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15875</xdr:colOff>
      <xdr:row>109</xdr:row>
      <xdr:rowOff>17463</xdr:rowOff>
    </xdr:from>
    <xdr:to>
      <xdr:col>14</xdr:col>
      <xdr:colOff>1555750</xdr:colOff>
      <xdr:row>128</xdr:row>
      <xdr:rowOff>15875</xdr:rowOff>
    </xdr:to>
    <xdr:graphicFrame macro="">
      <xdr:nvGraphicFramePr>
        <xdr:cNvPr id="3" name="Chart 2">
          <a:extLst>
            <a:ext uri="{FF2B5EF4-FFF2-40B4-BE49-F238E27FC236}">
              <a16:creationId xmlns:a16="http://schemas.microsoft.com/office/drawing/2014/main" id="{76A99CF4-4CEC-0D8F-9696-9C40766F27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https://www.bing.com/financeapi/forcetrigger?t=brjvjc&amp;q=XNAS%3aDDOG&amp;form=skydnc</v>
    <v>Learn more on Bing</v>
  </rv>
  <rv s="1">
    <v>0</v>
    <v>DATADOG, INC. (XNAS:DDOG)</v>
    <v>2</v>
    <v>3</v>
    <v>Finance</v>
    <v>4</v>
    <v>en-US</v>
    <v>brjvjc</v>
    <v>268435456</v>
    <v>1</v>
    <v>Powered by Refinitiv</v>
    <v>118.02</v>
    <v>61.34</v>
    <v>1.0203</v>
    <v>0.96</v>
    <v>1.1893000000000001E-2</v>
    <v>0.12</v>
    <v>1.469E-3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82.44</v>
    <v>Software &amp; IT Services</v>
    <v>Stock</v>
    <v>45226.999469142967</v>
    <v>0</v>
    <v>80.459999999999994</v>
    <v>26545960000</v>
    <v>DATADOG, INC.</v>
    <v>DATADOG, INC.</v>
    <v>81.8</v>
    <v>80.72</v>
    <v>81.680000000000007</v>
    <v>81.8</v>
    <v>324999500</v>
    <v>DDOG</v>
    <v>DATADOG, INC. (XNAS:DDOG)</v>
    <v>3633784</v>
    <v>3478547</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1550/000156459021009770/0001564590-21-009770-index.htm" TargetMode="External"/><Relationship Id="rId13" Type="http://schemas.openxmlformats.org/officeDocument/2006/relationships/hyperlink" Target="https://www.sec.gov/Archives/edgar/data/1561550/000156155023000006/0001561550-23-00000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61550/000156459020006422/0001564590-20-006422-index.htm" TargetMode="External"/><Relationship Id="rId12" Type="http://schemas.openxmlformats.org/officeDocument/2006/relationships/hyperlink" Target="https://www.sec.gov/Archives/edgar/data/1561550/000156155023000006/0001561550-23-000006-index.htm" TargetMode="External"/><Relationship Id="rId2" Type="http://schemas.openxmlformats.org/officeDocument/2006/relationships/hyperlink" Target="https://sec.gov/" TargetMode="External"/><Relationship Id="rId16" Type="http://schemas.openxmlformats.org/officeDocument/2006/relationships/drawing" Target="../drawings/drawing1.xml"/><Relationship Id="rId1" Type="http://schemas.openxmlformats.org/officeDocument/2006/relationships/hyperlink" Target="https://roic.ai/company/DDOG" TargetMode="External"/><Relationship Id="rId6" Type="http://schemas.openxmlformats.org/officeDocument/2006/relationships/hyperlink" Target="https://www.sec.gov/Archives/edgar/data/1561550/000156459020006422/0001564590-20-006422-index.htm" TargetMode="External"/><Relationship Id="rId11" Type="http://schemas.openxmlformats.org/officeDocument/2006/relationships/hyperlink" Target="https://www.sec.gov/Archives/edgar/data/1561550/000156155022000009/0001561550-22-000009-index.htm" TargetMode="External"/><Relationship Id="rId5" Type="http://schemas.openxmlformats.org/officeDocument/2006/relationships/hyperlink" Target="https://sec.gov/" TargetMode="External"/><Relationship Id="rId15" Type="http://schemas.openxmlformats.org/officeDocument/2006/relationships/hyperlink" Target="https://finbox.com/NASDAQGS:DDOG/explorer/fcf_unlev_proj" TargetMode="External"/><Relationship Id="rId10" Type="http://schemas.openxmlformats.org/officeDocument/2006/relationships/hyperlink" Target="https://www.sec.gov/Archives/edgar/data/1561550/000156155022000009/0001561550-22-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1550/000156459021009770/0001564590-21-009770-index.htm" TargetMode="External"/><Relationship Id="rId14" Type="http://schemas.openxmlformats.org/officeDocument/2006/relationships/hyperlink" Target="https://finbox.com/NASDAQGS:DDO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D94" activePane="bottomRight" state="frozen"/>
      <selection pane="topRight"/>
      <selection pane="bottomLeft"/>
      <selection pane="bottomRight" activeCell="K100" sqref="K100"/>
    </sheetView>
  </sheetViews>
  <sheetFormatPr baseColWidth="10" defaultRowHeight="16" x14ac:dyDescent="0.2"/>
  <cols>
    <col min="1" max="1" width="50" customWidth="1"/>
    <col min="2" max="7" width="15" customWidth="1"/>
    <col min="8" max="16" width="21" customWidth="1"/>
  </cols>
  <sheetData>
    <row r="1" spans="1:38" ht="22" thickBot="1" x14ac:dyDescent="0.3">
      <c r="A1" s="3" t="e" vm="1">
        <v>#VALUE!</v>
      </c>
      <c r="B1" s="8">
        <v>2017</v>
      </c>
      <c r="C1" s="8">
        <v>2018</v>
      </c>
      <c r="D1" s="8">
        <v>2019</v>
      </c>
      <c r="E1" s="8">
        <v>2020</v>
      </c>
      <c r="F1" s="8">
        <v>2021</v>
      </c>
      <c r="G1" s="8">
        <v>2022</v>
      </c>
      <c r="H1" s="24">
        <v>2023</v>
      </c>
      <c r="I1" s="24">
        <v>2024</v>
      </c>
      <c r="J1" s="24">
        <v>2025</v>
      </c>
      <c r="K1" s="24">
        <v>2026</v>
      </c>
      <c r="L1" s="24">
        <v>2027</v>
      </c>
    </row>
    <row r="2" spans="1:38" ht="21" x14ac:dyDescent="0.25">
      <c r="A2" s="4" t="s">
        <v>0</v>
      </c>
      <c r="B2" s="9" t="s">
        <v>90</v>
      </c>
      <c r="C2" s="9" t="s">
        <v>90</v>
      </c>
      <c r="D2" s="9" t="s">
        <v>90</v>
      </c>
      <c r="E2" s="9" t="s">
        <v>90</v>
      </c>
      <c r="F2" s="9" t="s">
        <v>90</v>
      </c>
      <c r="G2" s="9" t="s">
        <v>90</v>
      </c>
      <c r="H2" s="9" t="s">
        <v>90</v>
      </c>
      <c r="I2" s="9" t="s">
        <v>90</v>
      </c>
      <c r="J2" s="9" t="s">
        <v>90</v>
      </c>
      <c r="K2" s="9"/>
      <c r="L2" s="9"/>
      <c r="M2" s="9"/>
      <c r="N2" s="9"/>
      <c r="O2" s="9"/>
      <c r="P2" s="9"/>
    </row>
    <row r="3" spans="1:38" ht="40" x14ac:dyDescent="0.25">
      <c r="A3" s="5" t="s">
        <v>1</v>
      </c>
      <c r="B3" s="1">
        <v>100761000</v>
      </c>
      <c r="C3" s="1">
        <v>198077000</v>
      </c>
      <c r="D3" s="1">
        <v>362780000</v>
      </c>
      <c r="E3" s="1">
        <v>603466000</v>
      </c>
      <c r="F3" s="1">
        <v>1028784000</v>
      </c>
      <c r="G3" s="1">
        <v>1675100000</v>
      </c>
      <c r="H3" s="25">
        <v>2055000000</v>
      </c>
      <c r="I3" s="25">
        <v>2548000000</v>
      </c>
      <c r="J3" s="25">
        <v>3220000000</v>
      </c>
      <c r="K3" s="25">
        <v>4145000000</v>
      </c>
      <c r="L3" s="25">
        <v>5071000000</v>
      </c>
      <c r="M3" s="19" t="s">
        <v>107</v>
      </c>
      <c r="N3" s="20" t="s">
        <v>108</v>
      </c>
      <c r="O3" s="20" t="s">
        <v>109</v>
      </c>
      <c r="P3" s="20" t="s">
        <v>110</v>
      </c>
    </row>
    <row r="4" spans="1:38" ht="19" x14ac:dyDescent="0.25">
      <c r="A4" s="14" t="s">
        <v>93</v>
      </c>
      <c r="B4" s="1"/>
      <c r="C4" s="44">
        <f>(C3/B3)-1</f>
        <v>0.96581018449598566</v>
      </c>
      <c r="D4" s="44">
        <f>(D3/C3)-1</f>
        <v>0.83150996834564328</v>
      </c>
      <c r="E4" s="44">
        <f>(E3/D3)-1</f>
        <v>0.66344892221180873</v>
      </c>
      <c r="F4" s="44">
        <f t="shared" ref="F4:L4" si="0">(F3/E3)-1</f>
        <v>0.70479198496684159</v>
      </c>
      <c r="G4" s="44">
        <f t="shared" si="0"/>
        <v>0.62823294296956411</v>
      </c>
      <c r="H4" s="16">
        <f t="shared" si="0"/>
        <v>0.22679243030266849</v>
      </c>
      <c r="I4" s="16">
        <f t="shared" si="0"/>
        <v>0.23990267639902685</v>
      </c>
      <c r="J4" s="16">
        <f t="shared" si="0"/>
        <v>0.26373626373626369</v>
      </c>
      <c r="K4" s="16">
        <f t="shared" si="0"/>
        <v>0.28726708074534169</v>
      </c>
      <c r="L4" s="16">
        <f t="shared" si="0"/>
        <v>0.22340168878166455</v>
      </c>
      <c r="M4" s="17">
        <f>(G4+F4+E4)/3</f>
        <v>0.66549128338273811</v>
      </c>
      <c r="N4" s="17">
        <f>(G20+F20+E20)/3</f>
        <v>-2.700310673525955</v>
      </c>
      <c r="O4" s="17">
        <f>(G29+F29+E29)/3</f>
        <v>0.57734869535946298</v>
      </c>
      <c r="P4" s="17">
        <f>(G106+F106+E106)/3</f>
        <v>35.538443691243934</v>
      </c>
      <c r="V4" s="16"/>
      <c r="W4" s="16"/>
      <c r="X4" s="16"/>
      <c r="Y4" s="16"/>
      <c r="Z4" s="16"/>
      <c r="AA4" s="16"/>
      <c r="AB4" s="16"/>
      <c r="AC4" s="16"/>
      <c r="AD4" s="16"/>
      <c r="AE4" s="16"/>
      <c r="AF4" s="16"/>
      <c r="AI4" s="18"/>
      <c r="AJ4" s="18"/>
      <c r="AK4" s="18"/>
      <c r="AL4" s="18"/>
    </row>
    <row r="5" spans="1:38" ht="19" x14ac:dyDescent="0.25">
      <c r="A5" s="5" t="s">
        <v>2</v>
      </c>
      <c r="B5" s="1">
        <v>23414000</v>
      </c>
      <c r="C5" s="1">
        <v>46529000</v>
      </c>
      <c r="D5" s="1">
        <v>88949000</v>
      </c>
      <c r="E5" s="1">
        <v>130197000</v>
      </c>
      <c r="F5" s="1">
        <v>234245000</v>
      </c>
      <c r="G5" s="1">
        <v>346743000</v>
      </c>
    </row>
    <row r="6" spans="1:38" ht="20" x14ac:dyDescent="0.25">
      <c r="A6" s="6" t="s">
        <v>3</v>
      </c>
      <c r="B6" s="10">
        <v>77347000</v>
      </c>
      <c r="C6" s="10">
        <v>151548000</v>
      </c>
      <c r="D6" s="10">
        <v>273831000</v>
      </c>
      <c r="E6" s="10">
        <v>473269000</v>
      </c>
      <c r="F6" s="10">
        <v>794539000</v>
      </c>
      <c r="G6" s="10">
        <v>1328357000</v>
      </c>
      <c r="H6" s="28">
        <f>H3*H7</f>
        <v>1644205500</v>
      </c>
      <c r="M6" s="69" t="s">
        <v>111</v>
      </c>
      <c r="N6" s="70" t="s">
        <v>112</v>
      </c>
      <c r="O6" s="70" t="s">
        <v>113</v>
      </c>
      <c r="P6" s="70" t="s">
        <v>114</v>
      </c>
    </row>
    <row r="7" spans="1:38" ht="19" x14ac:dyDescent="0.25">
      <c r="A7" s="5" t="s">
        <v>4</v>
      </c>
      <c r="B7" s="2">
        <v>0.76759999999999995</v>
      </c>
      <c r="C7" s="2">
        <v>0.7651</v>
      </c>
      <c r="D7" s="2">
        <v>0.75480000000000003</v>
      </c>
      <c r="E7" s="2">
        <v>0.7843</v>
      </c>
      <c r="F7" s="2">
        <v>0.77229999999999999</v>
      </c>
      <c r="G7" s="2">
        <v>0.79300000000000004</v>
      </c>
      <c r="H7" s="2">
        <v>0.80010000000000003</v>
      </c>
      <c r="M7" s="17">
        <f>H7</f>
        <v>0.80010000000000003</v>
      </c>
      <c r="N7" s="21">
        <f>H21</f>
        <v>0.21328467153284672</v>
      </c>
      <c r="O7" s="21">
        <f>H30</f>
        <v>0.22579075425790754</v>
      </c>
      <c r="P7" s="21">
        <f>H107/H3</f>
        <v>0.15065693430656935</v>
      </c>
    </row>
    <row r="8" spans="1:38" ht="19" x14ac:dyDescent="0.25">
      <c r="A8" s="5" t="s">
        <v>5</v>
      </c>
      <c r="B8" s="1">
        <v>24734000</v>
      </c>
      <c r="C8" s="1">
        <v>55176000</v>
      </c>
      <c r="D8" s="1">
        <v>111425000</v>
      </c>
      <c r="E8" s="1">
        <v>210626000</v>
      </c>
      <c r="F8" s="1">
        <v>419769000</v>
      </c>
      <c r="G8" s="1">
        <v>752351000</v>
      </c>
    </row>
    <row r="9" spans="1:38" ht="19" customHeight="1" x14ac:dyDescent="0.25">
      <c r="A9" s="14" t="s">
        <v>94</v>
      </c>
      <c r="B9" s="15">
        <f>B8/B3</f>
        <v>0.24547195839660185</v>
      </c>
      <c r="C9" s="15">
        <f t="shared" ref="C9:G9" si="1">C8/C3</f>
        <v>0.27855833842394623</v>
      </c>
      <c r="D9" s="15">
        <f t="shared" si="1"/>
        <v>0.30714206957384643</v>
      </c>
      <c r="E9" s="15">
        <f t="shared" si="1"/>
        <v>0.34902712000344677</v>
      </c>
      <c r="F9" s="15">
        <f t="shared" si="1"/>
        <v>0.40802442495217656</v>
      </c>
      <c r="G9" s="15">
        <f t="shared" si="1"/>
        <v>0.44913796191272165</v>
      </c>
      <c r="H9" s="15"/>
      <c r="I9" s="15"/>
      <c r="M9" s="19" t="s">
        <v>95</v>
      </c>
      <c r="N9" s="20" t="s">
        <v>96</v>
      </c>
      <c r="O9" s="20" t="s">
        <v>97</v>
      </c>
      <c r="P9" s="20" t="s">
        <v>98</v>
      </c>
    </row>
    <row r="10" spans="1:38" ht="19" x14ac:dyDescent="0.25">
      <c r="A10" s="5" t="s">
        <v>6</v>
      </c>
      <c r="B10" s="1">
        <v>11356000</v>
      </c>
      <c r="C10" s="1">
        <v>18556000</v>
      </c>
      <c r="D10" s="1">
        <v>35889000</v>
      </c>
      <c r="E10" s="1">
        <v>62756000</v>
      </c>
      <c r="F10" s="1">
        <v>94429000</v>
      </c>
      <c r="G10" s="1">
        <v>139413000</v>
      </c>
      <c r="M10" s="17">
        <f>G9</f>
        <v>0.44913796191272165</v>
      </c>
      <c r="N10" s="21">
        <f>G13</f>
        <v>0.37890334905378781</v>
      </c>
      <c r="O10" s="21">
        <f>G80</f>
        <v>0.21679541519909259</v>
      </c>
      <c r="P10" s="21">
        <f>G89</f>
        <v>2.1050086561996299E-2</v>
      </c>
    </row>
    <row r="11" spans="1:38" ht="19" x14ac:dyDescent="0.25">
      <c r="A11" s="5" t="s">
        <v>7</v>
      </c>
      <c r="B11" s="1">
        <v>44213000</v>
      </c>
      <c r="C11" s="1">
        <v>88849000</v>
      </c>
      <c r="D11" s="1">
        <v>146657000</v>
      </c>
      <c r="E11" s="1">
        <v>213660000</v>
      </c>
      <c r="F11" s="1">
        <v>299497000</v>
      </c>
      <c r="G11" s="1">
        <v>495288000</v>
      </c>
    </row>
    <row r="12" spans="1:38" ht="20" x14ac:dyDescent="0.25">
      <c r="A12" s="5" t="s">
        <v>8</v>
      </c>
      <c r="B12" s="1">
        <v>55569000</v>
      </c>
      <c r="C12" s="1">
        <v>107405000</v>
      </c>
      <c r="D12" s="1">
        <v>182546000</v>
      </c>
      <c r="E12" s="1">
        <v>276416000</v>
      </c>
      <c r="F12" s="1">
        <v>393926000</v>
      </c>
      <c r="G12" s="1">
        <v>634701000</v>
      </c>
      <c r="M12" s="19" t="s">
        <v>115</v>
      </c>
      <c r="N12" s="20" t="s">
        <v>116</v>
      </c>
      <c r="O12" s="20" t="s">
        <v>117</v>
      </c>
      <c r="P12" s="20" t="s">
        <v>118</v>
      </c>
    </row>
    <row r="13" spans="1:38" ht="19" x14ac:dyDescent="0.25">
      <c r="A13" s="14" t="s">
        <v>99</v>
      </c>
      <c r="B13" s="15">
        <f>B12/B3</f>
        <v>0.55149313722571236</v>
      </c>
      <c r="C13" s="15">
        <f t="shared" ref="C13:G13" si="2">C12/C3</f>
        <v>0.5422386243733498</v>
      </c>
      <c r="D13" s="15">
        <f t="shared" si="2"/>
        <v>0.50318650421743205</v>
      </c>
      <c r="E13" s="15">
        <f t="shared" si="2"/>
        <v>0.45804734649508011</v>
      </c>
      <c r="F13" s="15">
        <f t="shared" si="2"/>
        <v>0.38290447751909051</v>
      </c>
      <c r="G13" s="15">
        <f t="shared" si="2"/>
        <v>0.37890334905378781</v>
      </c>
      <c r="H13" s="15"/>
      <c r="I13" s="15"/>
      <c r="M13" s="17">
        <f>G28/G72</f>
        <v>-3.5561731436613127E-2</v>
      </c>
      <c r="N13" s="21">
        <f>G28/G54</f>
        <v>-1.6693001851671895E-2</v>
      </c>
      <c r="O13" s="21">
        <f>G22/(G72+G56+G61)</f>
        <v>-2.6109573465787319E-2</v>
      </c>
      <c r="P13" s="22">
        <f>G67/G72</f>
        <v>1.1303377159244383</v>
      </c>
    </row>
    <row r="14" spans="1:38" ht="19" x14ac:dyDescent="0.25">
      <c r="A14" s="5" t="s">
        <v>9</v>
      </c>
      <c r="B14" s="1" t="s">
        <v>91</v>
      </c>
      <c r="C14" s="1" t="s">
        <v>91</v>
      </c>
      <c r="D14" s="1" t="s">
        <v>91</v>
      </c>
      <c r="E14" s="1" t="s">
        <v>91</v>
      </c>
      <c r="F14" s="1" t="s">
        <v>91</v>
      </c>
      <c r="G14" s="1" t="s">
        <v>91</v>
      </c>
    </row>
    <row r="15" spans="1:38" ht="20" x14ac:dyDescent="0.25">
      <c r="A15" s="5" t="s">
        <v>10</v>
      </c>
      <c r="B15" s="1">
        <v>80303000</v>
      </c>
      <c r="C15" s="1">
        <v>162581000</v>
      </c>
      <c r="D15" s="1">
        <v>293971000</v>
      </c>
      <c r="E15" s="1">
        <v>487042000</v>
      </c>
      <c r="F15" s="1">
        <v>813695000</v>
      </c>
      <c r="G15" s="1">
        <v>1387052000</v>
      </c>
      <c r="M15" s="19" t="s">
        <v>155</v>
      </c>
      <c r="N15" s="20" t="s">
        <v>119</v>
      </c>
      <c r="O15" s="20" t="s">
        <v>120</v>
      </c>
      <c r="P15" s="20" t="s">
        <v>121</v>
      </c>
    </row>
    <row r="16" spans="1:38" ht="19" x14ac:dyDescent="0.25">
      <c r="A16" s="5" t="s">
        <v>11</v>
      </c>
      <c r="B16" s="1">
        <v>103717000</v>
      </c>
      <c r="C16" s="1">
        <v>209110000</v>
      </c>
      <c r="D16" s="1">
        <v>382920000</v>
      </c>
      <c r="E16" s="1">
        <v>617239000</v>
      </c>
      <c r="F16" s="1">
        <v>1047940000</v>
      </c>
      <c r="G16" s="1">
        <v>1733795000</v>
      </c>
      <c r="M16" s="26">
        <f>AVERAGE(F35:H35)</f>
        <v>2.6834126308879342E-2</v>
      </c>
      <c r="N16" s="35">
        <f>O102/G3</f>
        <v>15.847388215628918</v>
      </c>
      <c r="O16" s="35">
        <f>O102/G28</f>
        <v>-529.22567783094098</v>
      </c>
      <c r="P16" s="36">
        <f>O102/G107</f>
        <v>75.090829887021314</v>
      </c>
    </row>
    <row r="17" spans="1:16" ht="19" x14ac:dyDescent="0.25">
      <c r="A17" s="5" t="s">
        <v>12</v>
      </c>
      <c r="B17" s="1" t="s">
        <v>91</v>
      </c>
      <c r="C17" s="1" t="s">
        <v>91</v>
      </c>
      <c r="D17" s="1" t="s">
        <v>91</v>
      </c>
      <c r="E17" s="1">
        <v>30434000</v>
      </c>
      <c r="F17" s="1">
        <v>21052000</v>
      </c>
      <c r="G17" s="1">
        <v>13166000</v>
      </c>
    </row>
    <row r="18" spans="1:16" ht="20" x14ac:dyDescent="0.25">
      <c r="A18" s="5" t="s">
        <v>13</v>
      </c>
      <c r="B18" s="1">
        <v>2704000</v>
      </c>
      <c r="C18" s="1">
        <v>6026000</v>
      </c>
      <c r="D18" s="1">
        <v>12370000</v>
      </c>
      <c r="E18" s="1">
        <v>15450000</v>
      </c>
      <c r="F18" s="1">
        <v>22938000</v>
      </c>
      <c r="G18" s="1">
        <v>34629000</v>
      </c>
      <c r="M18" s="19" t="s">
        <v>122</v>
      </c>
      <c r="N18" s="34" t="s">
        <v>160</v>
      </c>
      <c r="O18" s="34" t="s">
        <v>161</v>
      </c>
      <c r="P18" s="20" t="s">
        <v>162</v>
      </c>
    </row>
    <row r="19" spans="1:16" ht="19" x14ac:dyDescent="0.25">
      <c r="A19" s="6" t="s">
        <v>14</v>
      </c>
      <c r="B19" s="10">
        <v>591000</v>
      </c>
      <c r="C19" s="10">
        <v>-4214000</v>
      </c>
      <c r="D19" s="10">
        <v>-3606000</v>
      </c>
      <c r="E19" s="10">
        <v>23662000</v>
      </c>
      <c r="F19" s="10">
        <v>25568000</v>
      </c>
      <c r="G19" s="10">
        <v>9725000</v>
      </c>
      <c r="H19" s="28">
        <v>438300000</v>
      </c>
      <c r="I19" s="28">
        <v>529300000</v>
      </c>
      <c r="J19" s="28">
        <v>748000000</v>
      </c>
      <c r="K19" s="28">
        <v>839000000</v>
      </c>
      <c r="L19" s="28">
        <v>1112000000</v>
      </c>
      <c r="M19" s="27">
        <f>G40-G56-G61</f>
        <v>1046805000</v>
      </c>
      <c r="N19" s="35">
        <f>O102/H3</f>
        <v>12.917742092457422</v>
      </c>
      <c r="O19" s="35">
        <f>O102/H28</f>
        <v>57.211120689655175</v>
      </c>
      <c r="P19" s="36">
        <f>O102/H107</f>
        <v>85.742764857881141</v>
      </c>
    </row>
    <row r="20" spans="1:16" ht="19" customHeight="1" x14ac:dyDescent="0.25">
      <c r="A20" s="14" t="s">
        <v>100</v>
      </c>
      <c r="B20" s="1"/>
      <c r="C20" s="15">
        <f>(C19/B19)-1</f>
        <v>-8.1302876480541464</v>
      </c>
      <c r="D20" s="15">
        <f>(D19/C19)-1</f>
        <v>-0.14428096820123393</v>
      </c>
      <c r="E20" s="15">
        <f>(E19/D19)-1</f>
        <v>-7.5618413754853027</v>
      </c>
      <c r="F20" s="15">
        <f t="shared" ref="F20:G20" si="3">(F19/E19)-1</f>
        <v>8.0551094582030247E-2</v>
      </c>
      <c r="G20" s="15">
        <f t="shared" si="3"/>
        <v>-0.61964173967459324</v>
      </c>
      <c r="H20" s="16">
        <f t="shared" ref="H20" si="4">(H19/G19)-1</f>
        <v>44.069408740359897</v>
      </c>
      <c r="I20" s="16">
        <f t="shared" ref="I20" si="5">(I19/H19)-1</f>
        <v>0.20762035135751766</v>
      </c>
      <c r="J20" s="16">
        <f t="shared" ref="J20" si="6">(J19/I19)-1</f>
        <v>0.41318722841488764</v>
      </c>
      <c r="K20" s="16">
        <f t="shared" ref="K20" si="7">(K19/J19)-1</f>
        <v>0.12165775401069512</v>
      </c>
      <c r="L20" s="16">
        <f t="shared" ref="L20" si="8">(L19/K19)-1</f>
        <v>0.32538736591179984</v>
      </c>
    </row>
    <row r="21" spans="1:16" ht="20" x14ac:dyDescent="0.25">
      <c r="A21" s="5" t="s">
        <v>15</v>
      </c>
      <c r="B21" s="2">
        <v>5.8999999999999999E-3</v>
      </c>
      <c r="C21" s="2">
        <v>-2.1299999999999999E-2</v>
      </c>
      <c r="D21" s="2">
        <v>-9.9000000000000008E-3</v>
      </c>
      <c r="E21" s="2">
        <v>3.9199999999999999E-2</v>
      </c>
      <c r="F21" s="2">
        <v>2.4899999999999999E-2</v>
      </c>
      <c r="G21" s="2">
        <v>5.7999999999999996E-3</v>
      </c>
      <c r="H21" s="29">
        <f>H19/H3</f>
        <v>0.21328467153284672</v>
      </c>
      <c r="I21" s="29">
        <f t="shared" ref="I21:L21" si="9">I19/I3</f>
        <v>0.20773155416012559</v>
      </c>
      <c r="J21" s="29">
        <f t="shared" si="9"/>
        <v>0.23229813664596274</v>
      </c>
      <c r="K21" s="29">
        <f t="shared" si="9"/>
        <v>0.20241254523522317</v>
      </c>
      <c r="L21" s="29">
        <f t="shared" si="9"/>
        <v>0.21928613685663578</v>
      </c>
      <c r="N21" s="45" t="s">
        <v>166</v>
      </c>
      <c r="O21" s="19" t="s">
        <v>163</v>
      </c>
      <c r="P21" s="20" t="s">
        <v>165</v>
      </c>
    </row>
    <row r="22" spans="1:16" ht="19" x14ac:dyDescent="0.25">
      <c r="A22" s="6" t="s">
        <v>16</v>
      </c>
      <c r="B22" s="10">
        <v>-2956000</v>
      </c>
      <c r="C22" s="10">
        <v>-11033000</v>
      </c>
      <c r="D22" s="10">
        <v>-20140000</v>
      </c>
      <c r="E22" s="10">
        <v>-13773000</v>
      </c>
      <c r="F22" s="10">
        <v>-19156000</v>
      </c>
      <c r="G22" s="10">
        <v>-58695000</v>
      </c>
      <c r="N22" s="17">
        <f>SUM(I29:L29)/4</f>
        <v>0.33872825923952682</v>
      </c>
      <c r="O22" s="37">
        <f>(-1*G98)/O102</f>
        <v>0</v>
      </c>
      <c r="P22" s="38">
        <f>H107/O102</f>
        <v>1.166279162629643E-2</v>
      </c>
    </row>
    <row r="23" spans="1:16" ht="19" x14ac:dyDescent="0.25">
      <c r="A23" s="5" t="s">
        <v>17</v>
      </c>
      <c r="B23" s="2">
        <v>-2.93E-2</v>
      </c>
      <c r="C23" s="2">
        <v>-5.57E-2</v>
      </c>
      <c r="D23" s="2">
        <v>-5.5500000000000001E-2</v>
      </c>
      <c r="E23" s="2">
        <v>-2.2800000000000001E-2</v>
      </c>
      <c r="F23" s="2">
        <v>-1.8599999999999998E-2</v>
      </c>
      <c r="G23" s="2">
        <v>-3.5000000000000003E-2</v>
      </c>
    </row>
    <row r="24" spans="1:16" ht="19" x14ac:dyDescent="0.25">
      <c r="A24" s="5" t="s">
        <v>18</v>
      </c>
      <c r="B24" s="1">
        <v>843000</v>
      </c>
      <c r="C24" s="1">
        <v>793000</v>
      </c>
      <c r="D24" s="1">
        <v>4164000</v>
      </c>
      <c r="E24" s="1">
        <v>-8449000</v>
      </c>
      <c r="F24" s="1">
        <v>734000</v>
      </c>
      <c r="G24" s="1">
        <v>20625000</v>
      </c>
    </row>
    <row r="25" spans="1:16" ht="19" x14ac:dyDescent="0.25">
      <c r="A25" s="6" t="s">
        <v>19</v>
      </c>
      <c r="B25" s="10">
        <v>-2113000</v>
      </c>
      <c r="C25" s="10">
        <v>-10240000</v>
      </c>
      <c r="D25" s="10">
        <v>-15976000</v>
      </c>
      <c r="E25" s="10">
        <v>-22222000</v>
      </c>
      <c r="F25" s="10">
        <v>-18422000</v>
      </c>
      <c r="G25" s="10">
        <v>-38070000</v>
      </c>
    </row>
    <row r="26" spans="1:16" ht="19" x14ac:dyDescent="0.25">
      <c r="A26" s="5" t="s">
        <v>20</v>
      </c>
      <c r="B26" s="2">
        <v>-2.1000000000000001E-2</v>
      </c>
      <c r="C26" s="2">
        <v>-5.1700000000000003E-2</v>
      </c>
      <c r="D26" s="2">
        <v>-4.3999999999999997E-2</v>
      </c>
      <c r="E26" s="2">
        <v>-3.6799999999999999E-2</v>
      </c>
      <c r="F26" s="2">
        <v>-1.7899999999999999E-2</v>
      </c>
      <c r="G26" s="2">
        <v>-2.2700000000000001E-2</v>
      </c>
    </row>
    <row r="27" spans="1:16" ht="19" x14ac:dyDescent="0.25">
      <c r="A27" s="5" t="s">
        <v>21</v>
      </c>
      <c r="B27" s="1">
        <v>457000</v>
      </c>
      <c r="C27" s="1">
        <v>522000</v>
      </c>
      <c r="D27" s="1">
        <v>734000</v>
      </c>
      <c r="E27" s="1">
        <v>2325000</v>
      </c>
      <c r="F27" s="1">
        <v>2323000</v>
      </c>
      <c r="G27" s="1">
        <v>12090000</v>
      </c>
    </row>
    <row r="28" spans="1:16" ht="20" thickBot="1" x14ac:dyDescent="0.3">
      <c r="A28" s="7" t="s">
        <v>22</v>
      </c>
      <c r="B28" s="11">
        <v>-2570000</v>
      </c>
      <c r="C28" s="11">
        <v>-10762000</v>
      </c>
      <c r="D28" s="11">
        <v>-16710000</v>
      </c>
      <c r="E28" s="11">
        <v>-24547000</v>
      </c>
      <c r="F28" s="11">
        <v>-20745000</v>
      </c>
      <c r="G28" s="11">
        <v>-50160000</v>
      </c>
      <c r="H28" s="30">
        <v>464000000</v>
      </c>
      <c r="I28" s="30">
        <v>559000000</v>
      </c>
      <c r="J28" s="30">
        <v>741100000</v>
      </c>
      <c r="K28" s="30">
        <v>1152000000</v>
      </c>
      <c r="L28" s="30">
        <v>1463000000</v>
      </c>
    </row>
    <row r="29" spans="1:16" ht="20" customHeight="1" thickTop="1" x14ac:dyDescent="0.25">
      <c r="A29" s="14" t="s">
        <v>101</v>
      </c>
      <c r="B29" s="1"/>
      <c r="C29" s="15">
        <f>(C28/B28)-1</f>
        <v>3.1875486381322959</v>
      </c>
      <c r="D29" s="15">
        <f>(D28/C28)-1</f>
        <v>0.55268537446571275</v>
      </c>
      <c r="E29" s="15">
        <f>(E28/D28)-1</f>
        <v>0.46900059844404551</v>
      </c>
      <c r="F29" s="15">
        <f t="shared" ref="F29:G29" si="10">(F28/E28)-1</f>
        <v>-0.15488654418055159</v>
      </c>
      <c r="G29" s="15">
        <f t="shared" si="10"/>
        <v>1.4179320318148951</v>
      </c>
      <c r="H29" s="16">
        <f t="shared" ref="H29" si="11">(H28/G28)-1</f>
        <v>-10.250398724082935</v>
      </c>
      <c r="I29" s="16">
        <f t="shared" ref="I29" si="12">(I28/H28)-1</f>
        <v>0.20474137931034475</v>
      </c>
      <c r="J29" s="16">
        <f t="shared" ref="J29" si="13">(J28/I28)-1</f>
        <v>0.32576028622540254</v>
      </c>
      <c r="K29" s="16">
        <f t="shared" ref="K29" si="14">(K28/J28)-1</f>
        <v>0.55444609364458231</v>
      </c>
      <c r="L29" s="16">
        <f t="shared" ref="L29" si="15">(L28/K28)-1</f>
        <v>0.26996527777777768</v>
      </c>
    </row>
    <row r="30" spans="1:16" ht="19" x14ac:dyDescent="0.25">
      <c r="A30" s="5" t="s">
        <v>23</v>
      </c>
      <c r="B30" s="2">
        <v>-2.5499999999999998E-2</v>
      </c>
      <c r="C30" s="2">
        <v>-5.4300000000000001E-2</v>
      </c>
      <c r="D30" s="2">
        <v>-4.6100000000000002E-2</v>
      </c>
      <c r="E30" s="2">
        <v>-4.07E-2</v>
      </c>
      <c r="F30" s="2">
        <v>-2.0199999999999999E-2</v>
      </c>
      <c r="G30" s="2">
        <v>-2.9899999999999999E-2</v>
      </c>
      <c r="H30" s="31">
        <f>H28/H3</f>
        <v>0.22579075425790754</v>
      </c>
      <c r="I30" s="31">
        <f t="shared" ref="I30:L30" si="16">I28/I3</f>
        <v>0.21938775510204081</v>
      </c>
      <c r="J30" s="31">
        <f t="shared" si="16"/>
        <v>0.2301552795031056</v>
      </c>
      <c r="K30" s="31">
        <f t="shared" si="16"/>
        <v>0.27792521109770807</v>
      </c>
      <c r="L30" s="31">
        <f t="shared" si="16"/>
        <v>0.28850325379609543</v>
      </c>
    </row>
    <row r="31" spans="1:16" ht="19" x14ac:dyDescent="0.25">
      <c r="A31" s="5" t="s">
        <v>24</v>
      </c>
      <c r="B31" s="12">
        <v>-0.03</v>
      </c>
      <c r="C31" s="12">
        <v>-0.04</v>
      </c>
      <c r="D31" s="12">
        <v>-0.12</v>
      </c>
      <c r="E31" s="12">
        <v>-0.08</v>
      </c>
      <c r="F31" s="12">
        <v>-7.0000000000000007E-2</v>
      </c>
      <c r="G31" s="12">
        <v>-0.16</v>
      </c>
      <c r="H31" s="32">
        <v>1.43</v>
      </c>
      <c r="I31" s="32">
        <v>1.72</v>
      </c>
      <c r="J31" s="32">
        <v>2.2799999999999998</v>
      </c>
      <c r="K31" s="32">
        <v>3.54</v>
      </c>
      <c r="L31" s="32">
        <v>4.5</v>
      </c>
    </row>
    <row r="32" spans="1:16" ht="19" x14ac:dyDescent="0.25">
      <c r="A32" s="5" t="s">
        <v>25</v>
      </c>
      <c r="B32" s="12">
        <v>-0.03</v>
      </c>
      <c r="C32" s="12">
        <v>-0.04</v>
      </c>
      <c r="D32" s="12">
        <v>-0.12</v>
      </c>
      <c r="E32" s="12">
        <v>-0.08</v>
      </c>
      <c r="F32" s="12">
        <v>-7.0000000000000007E-2</v>
      </c>
      <c r="G32" s="12">
        <v>-0.16</v>
      </c>
    </row>
    <row r="33" spans="1:8" ht="19" x14ac:dyDescent="0.25">
      <c r="A33" s="5" t="s">
        <v>26</v>
      </c>
      <c r="B33" s="1">
        <v>79566000</v>
      </c>
      <c r="C33" s="1">
        <v>250766000</v>
      </c>
      <c r="D33" s="1">
        <v>139873000</v>
      </c>
      <c r="E33" s="1">
        <v>300350000</v>
      </c>
      <c r="F33" s="1">
        <v>310247000</v>
      </c>
      <c r="G33" s="1">
        <v>310247000</v>
      </c>
      <c r="H33" s="1" cm="1">
        <f t="array" ref="H33">_FV(A1,"Shares outstanding",TRUE)</f>
        <v>324999500</v>
      </c>
    </row>
    <row r="34" spans="1:8" ht="19" x14ac:dyDescent="0.25">
      <c r="A34" s="5" t="s">
        <v>27</v>
      </c>
      <c r="B34" s="1">
        <v>79566000</v>
      </c>
      <c r="C34" s="1">
        <v>250766000</v>
      </c>
      <c r="D34" s="1">
        <v>139873000</v>
      </c>
      <c r="E34" s="1">
        <v>300350000</v>
      </c>
      <c r="F34" s="1">
        <v>310247000</v>
      </c>
      <c r="G34" s="1">
        <v>310247000</v>
      </c>
      <c r="H34" s="1" cm="1">
        <f t="array" ref="H34">_FV(A1,"Shares outstanding",TRUE)</f>
        <v>324999500</v>
      </c>
    </row>
    <row r="35" spans="1:8" ht="20" customHeight="1" x14ac:dyDescent="0.25">
      <c r="A35" s="14" t="s">
        <v>102</v>
      </c>
      <c r="B35" s="1"/>
      <c r="C35" s="23">
        <f>(C34-B34)/B34</f>
        <v>2.1516728250760373</v>
      </c>
      <c r="D35" s="23">
        <f t="shared" ref="D35:E35" si="17">(D34-C34)/C34</f>
        <v>-0.44221704696808978</v>
      </c>
      <c r="E35" s="23">
        <f t="shared" si="17"/>
        <v>1.1473050553001651</v>
      </c>
      <c r="F35" s="23">
        <f t="shared" ref="F35" si="18">(F34-E34)/E34</f>
        <v>3.2951556517396369E-2</v>
      </c>
      <c r="G35" s="23">
        <f t="shared" ref="G35:H35" si="19">(G34-F34)/F34</f>
        <v>0</v>
      </c>
      <c r="H35" s="23">
        <f t="shared" si="19"/>
        <v>4.7550822409241668E-2</v>
      </c>
    </row>
    <row r="36" spans="1:8" ht="19" x14ac:dyDescent="0.25">
      <c r="A36" s="5" t="s">
        <v>28</v>
      </c>
      <c r="B36" s="13" t="s">
        <v>92</v>
      </c>
      <c r="C36" s="13" t="s">
        <v>92</v>
      </c>
      <c r="D36" s="13" t="s">
        <v>92</v>
      </c>
      <c r="E36" s="13" t="s">
        <v>92</v>
      </c>
      <c r="F36" s="13" t="s">
        <v>92</v>
      </c>
      <c r="G36" s="13" t="s">
        <v>92</v>
      </c>
    </row>
    <row r="37" spans="1:8" ht="21" x14ac:dyDescent="0.25">
      <c r="A37" s="4" t="s">
        <v>29</v>
      </c>
      <c r="B37" s="9" t="s">
        <v>90</v>
      </c>
      <c r="C37" s="9" t="s">
        <v>90</v>
      </c>
      <c r="D37" s="9" t="s">
        <v>90</v>
      </c>
      <c r="E37" s="9" t="s">
        <v>90</v>
      </c>
      <c r="F37" s="9" t="s">
        <v>90</v>
      </c>
      <c r="G37" s="9" t="s">
        <v>90</v>
      </c>
    </row>
    <row r="38" spans="1:8" ht="19" x14ac:dyDescent="0.25">
      <c r="A38" s="5" t="s">
        <v>30</v>
      </c>
      <c r="B38" s="1">
        <v>60024000</v>
      </c>
      <c r="C38" s="1">
        <v>53639000</v>
      </c>
      <c r="D38" s="1">
        <v>597297000</v>
      </c>
      <c r="E38" s="1">
        <v>224927000</v>
      </c>
      <c r="F38" s="1">
        <v>270973000</v>
      </c>
      <c r="G38" s="1">
        <v>338985000</v>
      </c>
    </row>
    <row r="39" spans="1:8" ht="19" x14ac:dyDescent="0.25">
      <c r="A39" s="5" t="s">
        <v>31</v>
      </c>
      <c r="B39" s="1" t="s">
        <v>91</v>
      </c>
      <c r="C39" s="1" t="s">
        <v>91</v>
      </c>
      <c r="D39" s="1">
        <v>176674000</v>
      </c>
      <c r="E39" s="1">
        <v>1292532000</v>
      </c>
      <c r="F39" s="1">
        <v>1283473000</v>
      </c>
      <c r="G39" s="1">
        <v>1545341000</v>
      </c>
    </row>
    <row r="40" spans="1:8" ht="19" x14ac:dyDescent="0.25">
      <c r="A40" s="5" t="s">
        <v>32</v>
      </c>
      <c r="B40" s="1">
        <v>60024000</v>
      </c>
      <c r="C40" s="1">
        <v>53639000</v>
      </c>
      <c r="D40" s="1">
        <v>773971000</v>
      </c>
      <c r="E40" s="1">
        <v>1517459000</v>
      </c>
      <c r="F40" s="1">
        <v>1554446000</v>
      </c>
      <c r="G40" s="1">
        <v>1884326000</v>
      </c>
    </row>
    <row r="41" spans="1:8" ht="19" x14ac:dyDescent="0.25">
      <c r="A41" s="5" t="s">
        <v>33</v>
      </c>
      <c r="B41" s="1">
        <v>32853000</v>
      </c>
      <c r="C41" s="1">
        <v>56348000</v>
      </c>
      <c r="D41" s="1">
        <v>104972000</v>
      </c>
      <c r="E41" s="1">
        <v>171195000</v>
      </c>
      <c r="F41" s="1">
        <v>268824000</v>
      </c>
      <c r="G41" s="1">
        <v>399551000</v>
      </c>
    </row>
    <row r="42" spans="1:8" ht="19" x14ac:dyDescent="0.25">
      <c r="A42" s="5" t="s">
        <v>34</v>
      </c>
      <c r="B42" s="1" t="s">
        <v>91</v>
      </c>
      <c r="C42" s="1" t="s">
        <v>91</v>
      </c>
      <c r="D42" s="1" t="s">
        <v>91</v>
      </c>
      <c r="E42" s="1" t="s">
        <v>91</v>
      </c>
      <c r="F42" s="1" t="s">
        <v>91</v>
      </c>
      <c r="G42" s="1" t="s">
        <v>91</v>
      </c>
    </row>
    <row r="43" spans="1:8" ht="19" x14ac:dyDescent="0.25">
      <c r="A43" s="5" t="s">
        <v>35</v>
      </c>
      <c r="B43" s="1">
        <v>7542000</v>
      </c>
      <c r="C43" s="1">
        <v>11964000</v>
      </c>
      <c r="D43" s="1">
        <v>24999000</v>
      </c>
      <c r="E43" s="1">
        <v>29426000</v>
      </c>
      <c r="F43" s="1">
        <v>47678000</v>
      </c>
      <c r="G43" s="1">
        <v>60357000</v>
      </c>
    </row>
    <row r="44" spans="1:8" ht="19" x14ac:dyDescent="0.25">
      <c r="A44" s="6" t="s">
        <v>36</v>
      </c>
      <c r="B44" s="10">
        <v>100419000</v>
      </c>
      <c r="C44" s="10">
        <v>121951000</v>
      </c>
      <c r="D44" s="10">
        <v>903942000</v>
      </c>
      <c r="E44" s="10">
        <v>1718080000</v>
      </c>
      <c r="F44" s="10">
        <v>1870948000</v>
      </c>
      <c r="G44" s="10">
        <v>2344234000</v>
      </c>
    </row>
    <row r="45" spans="1:8" ht="19" x14ac:dyDescent="0.25">
      <c r="A45" s="5" t="s">
        <v>37</v>
      </c>
      <c r="B45" s="1">
        <v>11121000</v>
      </c>
      <c r="C45" s="1">
        <v>21649000</v>
      </c>
      <c r="D45" s="1">
        <v>85751000</v>
      </c>
      <c r="E45" s="1">
        <v>105026000</v>
      </c>
      <c r="F45" s="1">
        <v>136507000</v>
      </c>
      <c r="G45" s="1">
        <v>212975000</v>
      </c>
    </row>
    <row r="46" spans="1:8" ht="19" x14ac:dyDescent="0.25">
      <c r="A46" s="5" t="s">
        <v>38</v>
      </c>
      <c r="B46" s="1">
        <v>6292000</v>
      </c>
      <c r="C46" s="1">
        <v>7626000</v>
      </c>
      <c r="D46" s="1">
        <v>9058000</v>
      </c>
      <c r="E46" s="1">
        <v>17609000</v>
      </c>
      <c r="F46" s="1">
        <v>292176000</v>
      </c>
      <c r="G46" s="1">
        <v>348277000</v>
      </c>
    </row>
    <row r="47" spans="1:8" ht="19" x14ac:dyDescent="0.25">
      <c r="A47" s="5" t="s">
        <v>39</v>
      </c>
      <c r="B47" s="1">
        <v>974000</v>
      </c>
      <c r="C47" s="1">
        <v>1288000</v>
      </c>
      <c r="D47" s="1">
        <v>1435000</v>
      </c>
      <c r="E47" s="1">
        <v>2069000</v>
      </c>
      <c r="F47" s="1">
        <v>15704000</v>
      </c>
      <c r="G47" s="1">
        <v>16365000</v>
      </c>
    </row>
    <row r="48" spans="1:8" ht="19" x14ac:dyDescent="0.25">
      <c r="A48" s="5" t="s">
        <v>40</v>
      </c>
      <c r="B48" s="1">
        <v>7266000</v>
      </c>
      <c r="C48" s="1">
        <v>8914000</v>
      </c>
      <c r="D48" s="1">
        <v>10493000</v>
      </c>
      <c r="E48" s="1">
        <v>19678000</v>
      </c>
      <c r="F48" s="1">
        <v>307880000</v>
      </c>
      <c r="G48" s="1">
        <v>364642000</v>
      </c>
    </row>
    <row r="49" spans="1:7" ht="19" x14ac:dyDescent="0.25">
      <c r="A49" s="5" t="s">
        <v>41</v>
      </c>
      <c r="B49" s="1" t="s">
        <v>91</v>
      </c>
      <c r="C49" s="1" t="s">
        <v>91</v>
      </c>
      <c r="D49" s="1" t="s">
        <v>91</v>
      </c>
      <c r="E49" s="1">
        <v>1292532000</v>
      </c>
      <c r="F49" s="1" t="s">
        <v>91</v>
      </c>
      <c r="G49" s="1" t="s">
        <v>91</v>
      </c>
    </row>
    <row r="50" spans="1:7" ht="19" x14ac:dyDescent="0.25">
      <c r="A50" s="5" t="s">
        <v>42</v>
      </c>
      <c r="B50" s="1" t="s">
        <v>91</v>
      </c>
      <c r="C50" s="1" t="s">
        <v>91</v>
      </c>
      <c r="D50" s="1" t="s">
        <v>91</v>
      </c>
      <c r="E50" s="1" t="s">
        <v>91</v>
      </c>
      <c r="F50" s="1" t="s">
        <v>91</v>
      </c>
      <c r="G50" s="1" t="s">
        <v>91</v>
      </c>
    </row>
    <row r="51" spans="1:7" ht="19" x14ac:dyDescent="0.25">
      <c r="A51" s="5" t="s">
        <v>43</v>
      </c>
      <c r="B51" s="1">
        <v>8256000</v>
      </c>
      <c r="C51" s="1">
        <v>27236000</v>
      </c>
      <c r="D51" s="1">
        <v>37855000</v>
      </c>
      <c r="E51" s="1">
        <v>-1245031000</v>
      </c>
      <c r="F51" s="1">
        <v>65459000</v>
      </c>
      <c r="G51" s="1">
        <v>83001000</v>
      </c>
    </row>
    <row r="52" spans="1:7" ht="19" x14ac:dyDescent="0.25">
      <c r="A52" s="5" t="s">
        <v>44</v>
      </c>
      <c r="B52" s="1">
        <v>26643000</v>
      </c>
      <c r="C52" s="1">
        <v>57799000</v>
      </c>
      <c r="D52" s="1">
        <v>134099000</v>
      </c>
      <c r="E52" s="1">
        <v>172205000</v>
      </c>
      <c r="F52" s="1">
        <v>509846000</v>
      </c>
      <c r="G52" s="1">
        <v>660618000</v>
      </c>
    </row>
    <row r="53" spans="1:7" ht="19" x14ac:dyDescent="0.25">
      <c r="A53" s="5" t="s">
        <v>45</v>
      </c>
      <c r="B53" s="1" t="s">
        <v>91</v>
      </c>
      <c r="C53" s="1" t="s">
        <v>91</v>
      </c>
      <c r="D53" s="1" t="s">
        <v>91</v>
      </c>
      <c r="E53" s="1" t="s">
        <v>91</v>
      </c>
      <c r="F53" s="1" t="s">
        <v>91</v>
      </c>
      <c r="G53" s="1" t="s">
        <v>91</v>
      </c>
    </row>
    <row r="54" spans="1:7" ht="20" thickBot="1" x14ac:dyDescent="0.3">
      <c r="A54" s="7" t="s">
        <v>46</v>
      </c>
      <c r="B54" s="11">
        <v>127062000</v>
      </c>
      <c r="C54" s="11">
        <v>179750000</v>
      </c>
      <c r="D54" s="11">
        <v>1038041000</v>
      </c>
      <c r="E54" s="11">
        <v>1890285000</v>
      </c>
      <c r="F54" s="11">
        <v>2380794000</v>
      </c>
      <c r="G54" s="11">
        <v>3004852000</v>
      </c>
    </row>
    <row r="55" spans="1:7" ht="20" thickTop="1" x14ac:dyDescent="0.25">
      <c r="A55" s="5" t="s">
        <v>47</v>
      </c>
      <c r="B55" s="1">
        <v>5316000</v>
      </c>
      <c r="C55" s="1">
        <v>12638000</v>
      </c>
      <c r="D55" s="1">
        <v>15429000</v>
      </c>
      <c r="E55" s="1">
        <v>21342000</v>
      </c>
      <c r="F55" s="1">
        <v>25270000</v>
      </c>
      <c r="G55" s="1">
        <v>23474000</v>
      </c>
    </row>
    <row r="56" spans="1:7" ht="19" x14ac:dyDescent="0.25">
      <c r="A56" s="5" t="s">
        <v>48</v>
      </c>
      <c r="B56" s="1" t="s">
        <v>91</v>
      </c>
      <c r="C56" s="1" t="s">
        <v>91</v>
      </c>
      <c r="D56" s="1">
        <v>11916000</v>
      </c>
      <c r="E56" s="1">
        <v>16326000</v>
      </c>
      <c r="F56" s="1">
        <v>20157000</v>
      </c>
      <c r="G56" s="1">
        <v>22092000</v>
      </c>
    </row>
    <row r="57" spans="1:7" ht="19" x14ac:dyDescent="0.25">
      <c r="A57" s="5" t="s">
        <v>49</v>
      </c>
      <c r="B57" s="1">
        <v>487000</v>
      </c>
      <c r="C57" s="1">
        <v>1663000</v>
      </c>
      <c r="D57" s="1">
        <v>2368000</v>
      </c>
      <c r="E57" s="1">
        <v>12558000</v>
      </c>
      <c r="F57" s="1" t="s">
        <v>91</v>
      </c>
      <c r="G57" s="1" t="s">
        <v>91</v>
      </c>
    </row>
    <row r="58" spans="1:7" ht="19" x14ac:dyDescent="0.25">
      <c r="A58" s="5" t="s">
        <v>50</v>
      </c>
      <c r="B58" s="1">
        <v>35283000</v>
      </c>
      <c r="C58" s="1">
        <v>69306000</v>
      </c>
      <c r="D58" s="1">
        <v>134148000</v>
      </c>
      <c r="E58" s="1">
        <v>204825000</v>
      </c>
      <c r="F58" s="1">
        <v>371985000</v>
      </c>
      <c r="G58" s="1">
        <v>543024000</v>
      </c>
    </row>
    <row r="59" spans="1:7" ht="19" x14ac:dyDescent="0.25">
      <c r="A59" s="5" t="s">
        <v>51</v>
      </c>
      <c r="B59" s="1">
        <v>16169000</v>
      </c>
      <c r="C59" s="1">
        <v>28627000</v>
      </c>
      <c r="D59" s="1">
        <v>36378000</v>
      </c>
      <c r="E59" s="1">
        <v>42793000</v>
      </c>
      <c r="F59" s="1">
        <v>111284000</v>
      </c>
      <c r="G59" s="1">
        <v>171158000</v>
      </c>
    </row>
    <row r="60" spans="1:7" ht="19" x14ac:dyDescent="0.25">
      <c r="A60" s="6" t="s">
        <v>52</v>
      </c>
      <c r="B60" s="10">
        <v>57255000</v>
      </c>
      <c r="C60" s="10">
        <v>112234000</v>
      </c>
      <c r="D60" s="10">
        <v>200239000</v>
      </c>
      <c r="E60" s="10">
        <v>297844000</v>
      </c>
      <c r="F60" s="10">
        <v>528696000</v>
      </c>
      <c r="G60" s="10">
        <v>759748000</v>
      </c>
    </row>
    <row r="61" spans="1:7" ht="19" x14ac:dyDescent="0.25">
      <c r="A61" s="5" t="s">
        <v>53</v>
      </c>
      <c r="B61" s="1" t="s">
        <v>91</v>
      </c>
      <c r="C61" s="1" t="s">
        <v>91</v>
      </c>
      <c r="D61" s="1" t="s">
        <v>91</v>
      </c>
      <c r="E61" s="1">
        <v>575864000</v>
      </c>
      <c r="F61" s="1">
        <v>787588000</v>
      </c>
      <c r="G61" s="1">
        <v>815429000</v>
      </c>
    </row>
    <row r="62" spans="1:7" ht="19" x14ac:dyDescent="0.25">
      <c r="A62" s="5" t="s">
        <v>50</v>
      </c>
      <c r="B62" s="1">
        <v>3818000</v>
      </c>
      <c r="C62" s="1">
        <v>1393000</v>
      </c>
      <c r="D62" s="1">
        <v>4340000</v>
      </c>
      <c r="E62" s="1">
        <v>3450000</v>
      </c>
      <c r="F62" s="1">
        <v>13896000</v>
      </c>
      <c r="G62" s="1">
        <v>12944000</v>
      </c>
    </row>
    <row r="63" spans="1:7" ht="19" x14ac:dyDescent="0.25">
      <c r="A63" s="5" t="s">
        <v>54</v>
      </c>
      <c r="B63" s="1" t="s">
        <v>91</v>
      </c>
      <c r="C63" s="1" t="s">
        <v>91</v>
      </c>
      <c r="D63" s="1" t="s">
        <v>91</v>
      </c>
      <c r="E63" s="1" t="s">
        <v>91</v>
      </c>
      <c r="F63" s="1" t="s">
        <v>91</v>
      </c>
      <c r="G63" s="1" t="s">
        <v>91</v>
      </c>
    </row>
    <row r="64" spans="1:7" ht="19" x14ac:dyDescent="0.25">
      <c r="A64" s="5" t="s">
        <v>55</v>
      </c>
      <c r="B64" s="1">
        <v>141690000</v>
      </c>
      <c r="C64" s="1">
        <v>142164000</v>
      </c>
      <c r="D64" s="1">
        <v>51121000</v>
      </c>
      <c r="E64" s="1">
        <v>55695000</v>
      </c>
      <c r="F64" s="1">
        <v>9411000</v>
      </c>
      <c r="G64" s="1">
        <v>6226000</v>
      </c>
    </row>
    <row r="65" spans="1:7" ht="19" x14ac:dyDescent="0.25">
      <c r="A65" s="5" t="s">
        <v>56</v>
      </c>
      <c r="B65" s="1">
        <v>145508000</v>
      </c>
      <c r="C65" s="1">
        <v>143557000</v>
      </c>
      <c r="D65" s="1">
        <v>55461000</v>
      </c>
      <c r="E65" s="1">
        <v>635009000</v>
      </c>
      <c r="F65" s="1">
        <v>810895000</v>
      </c>
      <c r="G65" s="1">
        <v>834599000</v>
      </c>
    </row>
    <row r="66" spans="1:7" ht="19" x14ac:dyDescent="0.25">
      <c r="A66" s="5" t="s">
        <v>57</v>
      </c>
      <c r="B66" s="1" t="s">
        <v>91</v>
      </c>
      <c r="C66" s="1" t="s">
        <v>91</v>
      </c>
      <c r="D66" s="1" t="s">
        <v>91</v>
      </c>
      <c r="E66" s="1" t="s">
        <v>91</v>
      </c>
      <c r="F66" s="1" t="s">
        <v>91</v>
      </c>
      <c r="G66" s="1" t="s">
        <v>91</v>
      </c>
    </row>
    <row r="67" spans="1:7" ht="19" x14ac:dyDescent="0.25">
      <c r="A67" s="6" t="s">
        <v>58</v>
      </c>
      <c r="B67" s="10">
        <v>202763000</v>
      </c>
      <c r="C67" s="10">
        <v>255791000</v>
      </c>
      <c r="D67" s="10">
        <v>255700000</v>
      </c>
      <c r="E67" s="10">
        <v>932853000</v>
      </c>
      <c r="F67" s="10">
        <v>1339591000</v>
      </c>
      <c r="G67" s="10">
        <v>1594347000</v>
      </c>
    </row>
    <row r="68" spans="1:7" ht="19" x14ac:dyDescent="0.25">
      <c r="A68" s="5" t="s">
        <v>59</v>
      </c>
      <c r="B68" s="1" t="s">
        <v>91</v>
      </c>
      <c r="C68" s="1" t="s">
        <v>91</v>
      </c>
      <c r="D68" s="1">
        <v>3000</v>
      </c>
      <c r="E68" s="1">
        <v>3000</v>
      </c>
      <c r="F68" s="1">
        <v>3000</v>
      </c>
      <c r="G68" s="1">
        <v>3000</v>
      </c>
    </row>
    <row r="69" spans="1:7" ht="19" x14ac:dyDescent="0.25">
      <c r="A69" s="5" t="s">
        <v>60</v>
      </c>
      <c r="B69" s="1">
        <v>-95369000</v>
      </c>
      <c r="C69" s="1">
        <v>-106906000</v>
      </c>
      <c r="D69" s="1">
        <v>-123616000</v>
      </c>
      <c r="E69" s="1">
        <v>-148163000</v>
      </c>
      <c r="F69" s="1">
        <v>-152106000</v>
      </c>
      <c r="G69" s="1">
        <v>-202266000</v>
      </c>
    </row>
    <row r="70" spans="1:7" ht="19" x14ac:dyDescent="0.25">
      <c r="A70" s="5" t="s">
        <v>61</v>
      </c>
      <c r="B70" s="1">
        <v>-48000</v>
      </c>
      <c r="C70" s="1">
        <v>31000</v>
      </c>
      <c r="D70" s="1">
        <v>133000</v>
      </c>
      <c r="E70" s="1">
        <v>2287000</v>
      </c>
      <c r="F70" s="1">
        <v>-3830000</v>
      </c>
      <c r="G70" s="1">
        <v>-12422000</v>
      </c>
    </row>
    <row r="71" spans="1:7" ht="19" x14ac:dyDescent="0.25">
      <c r="A71" s="5" t="s">
        <v>62</v>
      </c>
      <c r="B71" s="1">
        <v>19716000</v>
      </c>
      <c r="C71" s="1">
        <v>30834000</v>
      </c>
      <c r="D71" s="1">
        <v>905821000</v>
      </c>
      <c r="E71" s="1">
        <v>1103305000</v>
      </c>
      <c r="F71" s="1">
        <v>1197136000</v>
      </c>
      <c r="G71" s="1" t="s">
        <v>91</v>
      </c>
    </row>
    <row r="72" spans="1:7" ht="19" x14ac:dyDescent="0.25">
      <c r="A72" s="6" t="s">
        <v>63</v>
      </c>
      <c r="B72" s="10">
        <v>-75701000</v>
      </c>
      <c r="C72" s="10">
        <v>-76041000</v>
      </c>
      <c r="D72" s="10">
        <v>782341000</v>
      </c>
      <c r="E72" s="10">
        <v>957432000</v>
      </c>
      <c r="F72" s="10">
        <v>1041203000</v>
      </c>
      <c r="G72" s="10">
        <v>1410505000</v>
      </c>
    </row>
    <row r="73" spans="1:7" ht="20" thickBot="1" x14ac:dyDescent="0.3">
      <c r="A73" s="7" t="s">
        <v>64</v>
      </c>
      <c r="B73" s="11">
        <v>127062000</v>
      </c>
      <c r="C73" s="11">
        <v>179750000</v>
      </c>
      <c r="D73" s="11">
        <v>1038041000</v>
      </c>
      <c r="E73" s="11">
        <v>1890285000</v>
      </c>
      <c r="F73" s="11">
        <v>2380794000</v>
      </c>
      <c r="G73" s="11">
        <v>3004852000</v>
      </c>
    </row>
    <row r="74" spans="1:7" ht="20" thickTop="1" x14ac:dyDescent="0.25">
      <c r="A74" s="5" t="s">
        <v>28</v>
      </c>
      <c r="B74" s="13" t="s">
        <v>92</v>
      </c>
      <c r="C74" s="13" t="s">
        <v>92</v>
      </c>
      <c r="D74" s="13" t="s">
        <v>92</v>
      </c>
      <c r="E74" s="13" t="s">
        <v>92</v>
      </c>
      <c r="F74" s="13" t="s">
        <v>92</v>
      </c>
      <c r="G74" s="13" t="s">
        <v>92</v>
      </c>
    </row>
    <row r="75" spans="1:7" ht="21" x14ac:dyDescent="0.25">
      <c r="A75" s="4" t="s">
        <v>65</v>
      </c>
      <c r="B75" s="9" t="s">
        <v>90</v>
      </c>
      <c r="C75" s="9" t="s">
        <v>90</v>
      </c>
      <c r="D75" s="9" t="s">
        <v>90</v>
      </c>
      <c r="E75" s="9" t="s">
        <v>90</v>
      </c>
      <c r="F75" s="9" t="s">
        <v>90</v>
      </c>
      <c r="G75" s="9" t="s">
        <v>90</v>
      </c>
    </row>
    <row r="76" spans="1:7" ht="19" x14ac:dyDescent="0.25">
      <c r="A76" s="5" t="s">
        <v>66</v>
      </c>
      <c r="B76" s="1">
        <v>-2570000</v>
      </c>
      <c r="C76" s="1">
        <v>-10762000</v>
      </c>
      <c r="D76" s="1">
        <v>-16710000</v>
      </c>
      <c r="E76" s="1">
        <v>-24547000</v>
      </c>
      <c r="F76" s="1">
        <v>-20745000</v>
      </c>
      <c r="G76" s="1">
        <v>-50160000</v>
      </c>
    </row>
    <row r="77" spans="1:7" ht="19" x14ac:dyDescent="0.25">
      <c r="A77" s="5" t="s">
        <v>13</v>
      </c>
      <c r="B77" s="1">
        <v>2704000</v>
      </c>
      <c r="C77" s="1">
        <v>6026000</v>
      </c>
      <c r="D77" s="1">
        <v>12370000</v>
      </c>
      <c r="E77" s="1">
        <v>15450000</v>
      </c>
      <c r="F77" s="1">
        <v>22938000</v>
      </c>
      <c r="G77" s="1">
        <v>34629000</v>
      </c>
    </row>
    <row r="78" spans="1:7" ht="19" x14ac:dyDescent="0.25">
      <c r="A78" s="5" t="s">
        <v>67</v>
      </c>
      <c r="B78" s="1" t="s">
        <v>91</v>
      </c>
      <c r="C78" s="1" t="s">
        <v>91</v>
      </c>
      <c r="D78" s="1" t="s">
        <v>91</v>
      </c>
      <c r="E78" s="1" t="s">
        <v>91</v>
      </c>
      <c r="F78" s="1" t="s">
        <v>91</v>
      </c>
      <c r="G78" s="1" t="s">
        <v>91</v>
      </c>
    </row>
    <row r="79" spans="1:7" ht="19" x14ac:dyDescent="0.25">
      <c r="A79" s="5" t="s">
        <v>68</v>
      </c>
      <c r="B79" s="1">
        <v>3068000</v>
      </c>
      <c r="C79" s="1">
        <v>5244000</v>
      </c>
      <c r="D79" s="1">
        <v>19034000</v>
      </c>
      <c r="E79" s="1">
        <v>74374000</v>
      </c>
      <c r="F79" s="1">
        <v>163737000</v>
      </c>
      <c r="G79" s="1">
        <v>363154000</v>
      </c>
    </row>
    <row r="80" spans="1:7" ht="19" x14ac:dyDescent="0.25">
      <c r="A80" s="14" t="s">
        <v>103</v>
      </c>
      <c r="B80" s="15">
        <f t="shared" ref="B80:G80" si="20">B79/B3</f>
        <v>3.0448288524329851E-2</v>
      </c>
      <c r="C80" s="15">
        <f t="shared" si="20"/>
        <v>2.6474552825416379E-2</v>
      </c>
      <c r="D80" s="15">
        <f t="shared" si="20"/>
        <v>5.2467059926126026E-2</v>
      </c>
      <c r="E80" s="15">
        <f t="shared" si="20"/>
        <v>0.12324472298356494</v>
      </c>
      <c r="F80" s="15">
        <f t="shared" si="20"/>
        <v>0.1591558577893902</v>
      </c>
      <c r="G80" s="15">
        <f t="shared" si="20"/>
        <v>0.21679541519909259</v>
      </c>
    </row>
    <row r="81" spans="1:15" ht="19" x14ac:dyDescent="0.25">
      <c r="A81" s="5" t="s">
        <v>69</v>
      </c>
      <c r="B81" s="1">
        <v>8974000</v>
      </c>
      <c r="C81" s="1">
        <v>7164000</v>
      </c>
      <c r="D81" s="1">
        <v>-9538000</v>
      </c>
      <c r="E81" s="1">
        <v>-12466000</v>
      </c>
      <c r="F81" s="1">
        <v>63378000</v>
      </c>
      <c r="G81" s="1">
        <v>6393000</v>
      </c>
    </row>
    <row r="82" spans="1:15" ht="19" x14ac:dyDescent="0.25">
      <c r="A82" s="5" t="s">
        <v>70</v>
      </c>
      <c r="B82" s="1">
        <v>-19274000</v>
      </c>
      <c r="C82" s="1">
        <v>-25322000</v>
      </c>
      <c r="D82" s="1">
        <v>-47510000</v>
      </c>
      <c r="E82" s="1">
        <v>-64248000</v>
      </c>
      <c r="F82" s="1">
        <v>-107112000</v>
      </c>
      <c r="G82" s="1">
        <v>-135701000</v>
      </c>
    </row>
    <row r="83" spans="1:15" ht="19" x14ac:dyDescent="0.25">
      <c r="A83" s="5" t="s">
        <v>34</v>
      </c>
      <c r="B83" s="1" t="s">
        <v>91</v>
      </c>
      <c r="C83" s="1" t="s">
        <v>91</v>
      </c>
      <c r="D83" s="1" t="s">
        <v>91</v>
      </c>
      <c r="E83" s="1" t="s">
        <v>91</v>
      </c>
      <c r="F83" s="1" t="s">
        <v>91</v>
      </c>
      <c r="G83" s="1" t="s">
        <v>91</v>
      </c>
    </row>
    <row r="84" spans="1:15" ht="19" customHeight="1" x14ac:dyDescent="0.25">
      <c r="A84" s="5" t="s">
        <v>47</v>
      </c>
      <c r="B84" s="1">
        <v>4647000</v>
      </c>
      <c r="C84" s="1">
        <v>7241000</v>
      </c>
      <c r="D84" s="1">
        <v>2484000</v>
      </c>
      <c r="E84" s="1">
        <v>6539000</v>
      </c>
      <c r="F84" s="1">
        <v>3078000</v>
      </c>
      <c r="G84" s="1">
        <v>-1286000</v>
      </c>
      <c r="H84" s="46"/>
      <c r="I84" s="46"/>
      <c r="J84" s="46"/>
      <c r="K84" s="46"/>
      <c r="L84" s="46"/>
      <c r="M84" s="46"/>
      <c r="N84" s="75" t="s">
        <v>123</v>
      </c>
      <c r="O84" s="76"/>
    </row>
    <row r="85" spans="1:15" ht="19" customHeight="1" x14ac:dyDescent="0.25">
      <c r="A85" s="5" t="s">
        <v>71</v>
      </c>
      <c r="B85" s="1">
        <v>26473000</v>
      </c>
      <c r="C85" s="1">
        <v>22674000</v>
      </c>
      <c r="D85" s="1">
        <v>47644000</v>
      </c>
      <c r="E85" s="1">
        <v>44708000</v>
      </c>
      <c r="F85" s="1">
        <v>133506000</v>
      </c>
      <c r="G85" s="1">
        <v>117546000</v>
      </c>
      <c r="H85" s="46"/>
      <c r="I85" s="46"/>
      <c r="J85" s="46"/>
      <c r="K85" s="46"/>
      <c r="L85" s="46"/>
      <c r="M85" s="46"/>
      <c r="N85" s="77" t="s">
        <v>124</v>
      </c>
      <c r="O85" s="77"/>
    </row>
    <row r="86" spans="1:15" ht="20" x14ac:dyDescent="0.25">
      <c r="A86" s="5" t="s">
        <v>72</v>
      </c>
      <c r="B86" s="1">
        <v>1656000</v>
      </c>
      <c r="C86" s="1">
        <v>3157000</v>
      </c>
      <c r="D86" s="1">
        <v>19078000</v>
      </c>
      <c r="E86" s="1">
        <v>56280000</v>
      </c>
      <c r="F86" s="1">
        <v>57237000</v>
      </c>
      <c r="G86" s="1">
        <v>64391000</v>
      </c>
      <c r="H86" s="46"/>
      <c r="I86" s="46"/>
      <c r="J86" s="46"/>
      <c r="K86" s="46"/>
      <c r="L86" s="46"/>
      <c r="M86" s="46"/>
      <c r="N86" s="39" t="s">
        <v>125</v>
      </c>
      <c r="O86" s="47">
        <f>G17</f>
        <v>13166000</v>
      </c>
    </row>
    <row r="87" spans="1:15" ht="20" x14ac:dyDescent="0.25">
      <c r="A87" s="6" t="s">
        <v>73</v>
      </c>
      <c r="B87" s="10">
        <v>13832000</v>
      </c>
      <c r="C87" s="10">
        <v>10829000</v>
      </c>
      <c r="D87" s="10">
        <v>24234000</v>
      </c>
      <c r="E87" s="10">
        <v>109091000</v>
      </c>
      <c r="F87" s="10">
        <v>286545000</v>
      </c>
      <c r="G87" s="10">
        <v>418407000</v>
      </c>
      <c r="H87" s="46"/>
      <c r="I87" s="46"/>
      <c r="J87" s="46"/>
      <c r="K87" s="46"/>
      <c r="L87" s="46"/>
      <c r="M87" s="46"/>
      <c r="N87" s="39" t="s">
        <v>126</v>
      </c>
      <c r="O87" s="47">
        <f>G56</f>
        <v>22092000</v>
      </c>
    </row>
    <row r="88" spans="1:15" ht="20" x14ac:dyDescent="0.25">
      <c r="A88" s="5" t="s">
        <v>74</v>
      </c>
      <c r="B88" s="1">
        <v>-2351000</v>
      </c>
      <c r="C88" s="1">
        <v>-9662000</v>
      </c>
      <c r="D88" s="1">
        <v>-13315000</v>
      </c>
      <c r="E88" s="1">
        <v>-5415000</v>
      </c>
      <c r="F88" s="1">
        <v>-9956000</v>
      </c>
      <c r="G88" s="1">
        <v>-35261000</v>
      </c>
      <c r="H88" s="46"/>
      <c r="I88" s="46"/>
      <c r="J88" s="46"/>
      <c r="K88" s="46"/>
      <c r="L88" s="46"/>
      <c r="M88" s="46"/>
      <c r="N88" s="39" t="s">
        <v>127</v>
      </c>
      <c r="O88" s="47">
        <f>G61</f>
        <v>815429000</v>
      </c>
    </row>
    <row r="89" spans="1:15" ht="20" customHeight="1" x14ac:dyDescent="0.25">
      <c r="A89" s="14" t="s">
        <v>104</v>
      </c>
      <c r="B89" s="15">
        <f t="shared" ref="B89:G89" si="21">(-1*B88)/B3</f>
        <v>2.3332440130606088E-2</v>
      </c>
      <c r="C89" s="15">
        <f t="shared" si="21"/>
        <v>4.8779010182908665E-2</v>
      </c>
      <c r="D89" s="15">
        <f t="shared" si="21"/>
        <v>3.6702684822757597E-2</v>
      </c>
      <c r="E89" s="15">
        <f t="shared" si="21"/>
        <v>8.973165016753222E-3</v>
      </c>
      <c r="F89" s="15">
        <f t="shared" si="21"/>
        <v>9.6774444392603298E-3</v>
      </c>
      <c r="G89" s="15">
        <f t="shared" si="21"/>
        <v>2.1050086561996299E-2</v>
      </c>
      <c r="H89" s="46"/>
      <c r="I89" s="46"/>
      <c r="J89" s="46"/>
      <c r="K89" s="46"/>
      <c r="L89" s="46"/>
      <c r="M89" s="46"/>
      <c r="N89" s="40" t="s">
        <v>128</v>
      </c>
      <c r="O89" s="48">
        <f>O86/(O87+O88)</f>
        <v>1.5720202836704989E-2</v>
      </c>
    </row>
    <row r="90" spans="1:15" ht="20" x14ac:dyDescent="0.25">
      <c r="A90" s="5" t="s">
        <v>75</v>
      </c>
      <c r="B90" s="1">
        <v>-4957000</v>
      </c>
      <c r="C90" s="1">
        <v>-1618000</v>
      </c>
      <c r="D90" s="1">
        <v>-2138000</v>
      </c>
      <c r="E90" s="1">
        <v>-2363000</v>
      </c>
      <c r="F90" s="1">
        <v>-226505000</v>
      </c>
      <c r="G90" s="1">
        <v>-45878000</v>
      </c>
      <c r="H90" s="46"/>
      <c r="I90" s="46"/>
      <c r="J90" s="46"/>
      <c r="K90" s="46"/>
      <c r="L90" s="46"/>
      <c r="M90" s="46"/>
      <c r="N90" s="39" t="s">
        <v>105</v>
      </c>
      <c r="O90" s="47">
        <f>G27</f>
        <v>12090000</v>
      </c>
    </row>
    <row r="91" spans="1:15" ht="20" x14ac:dyDescent="0.25">
      <c r="A91" s="5" t="s">
        <v>76</v>
      </c>
      <c r="B91" s="1" t="s">
        <v>91</v>
      </c>
      <c r="C91" s="1" t="s">
        <v>91</v>
      </c>
      <c r="D91" s="1">
        <v>-176639000</v>
      </c>
      <c r="E91" s="1">
        <v>-1794562000</v>
      </c>
      <c r="F91" s="1">
        <v>-1125519000</v>
      </c>
      <c r="G91" s="1">
        <v>-1413717000</v>
      </c>
      <c r="H91" s="46"/>
      <c r="I91" s="46"/>
      <c r="J91" s="46"/>
      <c r="K91" s="46"/>
      <c r="L91" s="46"/>
      <c r="M91" s="46"/>
      <c r="N91" s="39" t="s">
        <v>19</v>
      </c>
      <c r="O91" s="47">
        <f>G25</f>
        <v>-38070000</v>
      </c>
    </row>
    <row r="92" spans="1:15" ht="20" x14ac:dyDescent="0.25">
      <c r="A92" s="5" t="s">
        <v>77</v>
      </c>
      <c r="B92" s="1" t="s">
        <v>91</v>
      </c>
      <c r="C92" s="1" t="s">
        <v>91</v>
      </c>
      <c r="D92" s="1" t="s">
        <v>91</v>
      </c>
      <c r="E92" s="1">
        <v>670184000</v>
      </c>
      <c r="F92" s="1">
        <v>1114309000</v>
      </c>
      <c r="G92" s="1">
        <v>1139814000</v>
      </c>
      <c r="H92" s="46"/>
      <c r="I92" s="46"/>
      <c r="J92" s="46"/>
      <c r="K92" s="46"/>
      <c r="L92" s="46"/>
      <c r="M92" s="46"/>
      <c r="N92" s="40" t="s">
        <v>129</v>
      </c>
      <c r="O92" s="48">
        <f>O90/O91</f>
        <v>-0.31757289204097716</v>
      </c>
    </row>
    <row r="93" spans="1:15" ht="19" customHeight="1" x14ac:dyDescent="0.25">
      <c r="A93" s="5" t="s">
        <v>78</v>
      </c>
      <c r="B93" s="1">
        <v>-5452000</v>
      </c>
      <c r="C93" s="1">
        <v>-6176000</v>
      </c>
      <c r="D93" s="1">
        <v>-10128000</v>
      </c>
      <c r="E93" s="1">
        <v>-20468000</v>
      </c>
      <c r="F93" s="1">
        <v>-26069000</v>
      </c>
      <c r="G93" s="1">
        <v>-29628000</v>
      </c>
      <c r="H93" s="46"/>
      <c r="I93" s="46"/>
      <c r="J93" s="46"/>
      <c r="K93" s="46"/>
      <c r="L93" s="46"/>
      <c r="M93" s="46"/>
      <c r="N93" s="40" t="s">
        <v>130</v>
      </c>
      <c r="O93" s="48">
        <f>O89*(1-O92)</f>
        <v>2.0712513115028166E-2</v>
      </c>
    </row>
    <row r="94" spans="1:15" ht="19" customHeight="1" x14ac:dyDescent="0.25">
      <c r="A94" s="6" t="s">
        <v>79</v>
      </c>
      <c r="B94" s="10">
        <v>-12760000</v>
      </c>
      <c r="C94" s="10">
        <v>-17456000</v>
      </c>
      <c r="D94" s="10">
        <v>-202220000</v>
      </c>
      <c r="E94" s="10">
        <v>-1152624000</v>
      </c>
      <c r="F94" s="10">
        <v>-273740000</v>
      </c>
      <c r="G94" s="10">
        <v>-384670000</v>
      </c>
      <c r="H94" s="46"/>
      <c r="I94" s="46"/>
      <c r="J94" s="46"/>
      <c r="K94" s="46"/>
      <c r="L94" s="46"/>
      <c r="M94" s="46"/>
      <c r="N94" s="77" t="s">
        <v>131</v>
      </c>
      <c r="O94" s="77"/>
    </row>
    <row r="95" spans="1:15" ht="20" x14ac:dyDescent="0.25">
      <c r="A95" s="5" t="s">
        <v>80</v>
      </c>
      <c r="B95" s="1" t="s">
        <v>91</v>
      </c>
      <c r="C95" s="1" t="s">
        <v>91</v>
      </c>
      <c r="D95" s="1" t="s">
        <v>91</v>
      </c>
      <c r="E95" s="1" t="s">
        <v>91</v>
      </c>
      <c r="F95" s="1" t="s">
        <v>91</v>
      </c>
      <c r="G95" s="1">
        <v>-3000</v>
      </c>
      <c r="H95" s="46"/>
      <c r="I95" s="46"/>
      <c r="J95" s="46"/>
      <c r="K95" s="46"/>
      <c r="L95" s="46"/>
      <c r="M95" s="46"/>
      <c r="N95" s="39" t="s">
        <v>132</v>
      </c>
      <c r="O95" s="71">
        <f>'[1]US Treasury Bonds'!$C$8</f>
        <v>4.845E-2</v>
      </c>
    </row>
    <row r="96" spans="1:15" ht="20" x14ac:dyDescent="0.25">
      <c r="A96" s="5" t="s">
        <v>81</v>
      </c>
      <c r="B96" s="1" t="s">
        <v>91</v>
      </c>
      <c r="C96" s="1" t="s">
        <v>91</v>
      </c>
      <c r="D96" s="1">
        <v>706317000</v>
      </c>
      <c r="E96" s="1" t="s">
        <v>91</v>
      </c>
      <c r="F96" s="1" t="s">
        <v>91</v>
      </c>
      <c r="G96" s="1" t="s">
        <v>91</v>
      </c>
      <c r="H96" s="46"/>
      <c r="I96" s="46"/>
      <c r="J96" s="46"/>
      <c r="K96" s="46"/>
      <c r="L96" s="46"/>
      <c r="M96" s="46"/>
      <c r="N96" s="39" t="s">
        <v>133</v>
      </c>
      <c r="O96" s="50" cm="1">
        <f t="array" ref="O96">_FV(A1,"Beta")</f>
        <v>1.0203</v>
      </c>
    </row>
    <row r="97" spans="1:15" ht="20" x14ac:dyDescent="0.25">
      <c r="A97" s="5" t="s">
        <v>82</v>
      </c>
      <c r="B97" s="1" t="s">
        <v>91</v>
      </c>
      <c r="C97" s="1" t="s">
        <v>91</v>
      </c>
      <c r="D97" s="1" t="s">
        <v>91</v>
      </c>
      <c r="E97" s="1">
        <v>-421000</v>
      </c>
      <c r="F97" s="1" t="s">
        <v>91</v>
      </c>
      <c r="G97" s="1" t="s">
        <v>91</v>
      </c>
      <c r="H97" s="46"/>
      <c r="I97" s="46"/>
      <c r="J97" s="46"/>
      <c r="K97" s="46"/>
      <c r="L97" s="46"/>
      <c r="M97" s="46"/>
      <c r="N97" s="39" t="s">
        <v>134</v>
      </c>
      <c r="O97" s="49">
        <v>8.4000000000000005E-2</v>
      </c>
    </row>
    <row r="98" spans="1:15" ht="19" customHeight="1" x14ac:dyDescent="0.25">
      <c r="A98" s="5" t="s">
        <v>83</v>
      </c>
      <c r="B98" s="1" t="s">
        <v>91</v>
      </c>
      <c r="C98" s="1" t="s">
        <v>91</v>
      </c>
      <c r="D98" s="1" t="s">
        <v>91</v>
      </c>
      <c r="E98" s="1" t="s">
        <v>91</v>
      </c>
      <c r="F98" s="1" t="s">
        <v>91</v>
      </c>
      <c r="G98" s="1">
        <v>0</v>
      </c>
      <c r="H98" s="46"/>
      <c r="I98" s="46"/>
      <c r="J98" s="46"/>
      <c r="K98" s="46"/>
      <c r="L98" s="46"/>
      <c r="M98" s="46"/>
      <c r="N98" s="40" t="s">
        <v>135</v>
      </c>
      <c r="O98" s="48">
        <f>(O95)+((O96)*(O97-O95))</f>
        <v>8.4721665000000002E-2</v>
      </c>
    </row>
    <row r="99" spans="1:15" ht="19" customHeight="1" x14ac:dyDescent="0.25">
      <c r="A99" s="5" t="s">
        <v>84</v>
      </c>
      <c r="B99" s="1">
        <v>462000</v>
      </c>
      <c r="C99" s="1">
        <v>7782000</v>
      </c>
      <c r="D99" s="1">
        <v>7899000</v>
      </c>
      <c r="E99" s="1">
        <v>670697000</v>
      </c>
      <c r="F99" s="1">
        <v>34940000</v>
      </c>
      <c r="G99" s="1">
        <v>36026000</v>
      </c>
      <c r="H99" s="46"/>
      <c r="I99" s="46"/>
      <c r="J99" s="46"/>
      <c r="K99" s="46"/>
      <c r="L99" s="46"/>
      <c r="M99" s="46"/>
      <c r="N99" s="77" t="s">
        <v>136</v>
      </c>
      <c r="O99" s="77"/>
    </row>
    <row r="100" spans="1:15" ht="20" x14ac:dyDescent="0.25">
      <c r="A100" s="6" t="s">
        <v>85</v>
      </c>
      <c r="B100" s="10">
        <v>462000</v>
      </c>
      <c r="C100" s="10">
        <v>7782000</v>
      </c>
      <c r="D100" s="10">
        <v>714216000</v>
      </c>
      <c r="E100" s="10">
        <v>670276000</v>
      </c>
      <c r="F100" s="10">
        <v>34940000</v>
      </c>
      <c r="G100" s="10">
        <v>36023000</v>
      </c>
      <c r="H100" s="46"/>
      <c r="I100" s="46"/>
      <c r="J100" s="46"/>
      <c r="K100" s="46"/>
      <c r="L100" s="46"/>
      <c r="M100" s="46"/>
      <c r="N100" s="39" t="s">
        <v>137</v>
      </c>
      <c r="O100" s="47">
        <f>O87+O88</f>
        <v>837521000</v>
      </c>
    </row>
    <row r="101" spans="1:15" ht="20" x14ac:dyDescent="0.25">
      <c r="A101" s="5" t="s">
        <v>86</v>
      </c>
      <c r="B101" s="1">
        <v>-54000</v>
      </c>
      <c r="C101" s="1">
        <v>47000</v>
      </c>
      <c r="D101" s="1">
        <v>-21000</v>
      </c>
      <c r="E101" s="1">
        <v>779000</v>
      </c>
      <c r="F101" s="1">
        <v>-1993000</v>
      </c>
      <c r="G101" s="1">
        <v>-1935000</v>
      </c>
      <c r="H101" s="46"/>
      <c r="I101" s="46"/>
      <c r="J101" s="46"/>
      <c r="K101" s="46"/>
      <c r="L101" s="46"/>
      <c r="M101" s="46"/>
      <c r="N101" s="40" t="s">
        <v>138</v>
      </c>
      <c r="O101" s="48">
        <f>O100/O104</f>
        <v>3.0584898976138204E-2</v>
      </c>
    </row>
    <row r="102" spans="1:15" ht="20" x14ac:dyDescent="0.25">
      <c r="A102" s="6" t="s">
        <v>87</v>
      </c>
      <c r="B102" s="10">
        <v>1480000</v>
      </c>
      <c r="C102" s="10">
        <v>1202000</v>
      </c>
      <c r="D102" s="10">
        <v>536209000</v>
      </c>
      <c r="E102" s="10">
        <v>-372478000</v>
      </c>
      <c r="F102" s="10">
        <v>45752000</v>
      </c>
      <c r="G102" s="10">
        <v>67825000</v>
      </c>
      <c r="H102" s="46"/>
      <c r="I102" s="46"/>
      <c r="J102" s="46"/>
      <c r="K102" s="46"/>
      <c r="L102" s="46"/>
      <c r="M102" s="46"/>
      <c r="N102" s="39" t="s">
        <v>139</v>
      </c>
      <c r="O102" s="51" cm="1">
        <f t="array" ref="O102">_FV(A1,"Market cap",TRUE)</f>
        <v>26545960000</v>
      </c>
    </row>
    <row r="103" spans="1:15" ht="20" x14ac:dyDescent="0.25">
      <c r="A103" s="5" t="s">
        <v>88</v>
      </c>
      <c r="B103" s="1">
        <v>62298000</v>
      </c>
      <c r="C103" s="1">
        <v>63778000</v>
      </c>
      <c r="D103" s="1">
        <v>64980000</v>
      </c>
      <c r="E103" s="1">
        <v>601189000</v>
      </c>
      <c r="F103" s="1">
        <v>228711000</v>
      </c>
      <c r="G103" s="1">
        <v>274463000</v>
      </c>
      <c r="H103" s="46"/>
      <c r="I103" s="46"/>
      <c r="J103" s="46"/>
      <c r="K103" s="46"/>
      <c r="L103" s="46"/>
      <c r="M103" s="46"/>
      <c r="N103" s="40" t="s">
        <v>140</v>
      </c>
      <c r="O103" s="48">
        <f>O102/O104</f>
        <v>0.96941510102386175</v>
      </c>
    </row>
    <row r="104" spans="1:15" ht="20" customHeight="1" thickBot="1" x14ac:dyDescent="0.3">
      <c r="A104" s="7" t="s">
        <v>89</v>
      </c>
      <c r="B104" s="11">
        <v>63778000</v>
      </c>
      <c r="C104" s="11">
        <v>64980000</v>
      </c>
      <c r="D104" s="11">
        <v>601189000</v>
      </c>
      <c r="E104" s="11">
        <v>228711000</v>
      </c>
      <c r="F104" s="11">
        <v>274463000</v>
      </c>
      <c r="G104" s="11">
        <v>342288000</v>
      </c>
      <c r="H104" s="79" t="s">
        <v>114</v>
      </c>
      <c r="I104" s="79"/>
      <c r="J104" s="79"/>
      <c r="K104" s="79"/>
      <c r="L104" s="79"/>
      <c r="M104" s="46"/>
      <c r="N104" s="40" t="s">
        <v>141</v>
      </c>
      <c r="O104" s="52">
        <f>O100+O102</f>
        <v>27383481000</v>
      </c>
    </row>
    <row r="105" spans="1:15" ht="21" customHeight="1" thickTop="1" x14ac:dyDescent="0.25">
      <c r="A105" s="14" t="s">
        <v>156</v>
      </c>
      <c r="B105" s="1">
        <f t="shared" ref="B105:F105" si="22">(B22*(1-0.2))+B77+B88+B81</f>
        <v>6962200</v>
      </c>
      <c r="C105" s="1">
        <f t="shared" si="22"/>
        <v>-5298400</v>
      </c>
      <c r="D105" s="1">
        <f t="shared" si="22"/>
        <v>-26595000</v>
      </c>
      <c r="E105" s="1">
        <f t="shared" si="22"/>
        <v>-13449400</v>
      </c>
      <c r="F105" s="1">
        <f t="shared" si="22"/>
        <v>61035200</v>
      </c>
      <c r="G105" s="1">
        <f>(G22*(1-0.2))+G77+G88+G81</f>
        <v>-41195000</v>
      </c>
      <c r="H105" s="72">
        <f>H107/H3</f>
        <v>0.15065693430656935</v>
      </c>
      <c r="I105" s="72">
        <f>I107/I3</f>
        <v>0.14062009419152277</v>
      </c>
      <c r="J105" s="72">
        <f>J107/J3</f>
        <v>0.16739130434782609</v>
      </c>
      <c r="K105" s="72">
        <f>K107/K3</f>
        <v>0.17056694813027745</v>
      </c>
      <c r="L105" s="72">
        <f>L107/L3</f>
        <v>0.16663380003943995</v>
      </c>
      <c r="M105" s="73" t="s">
        <v>164</v>
      </c>
      <c r="N105" s="77" t="s">
        <v>142</v>
      </c>
      <c r="O105" s="77"/>
    </row>
    <row r="106" spans="1:15" ht="20" x14ac:dyDescent="0.25">
      <c r="A106" s="14" t="s">
        <v>157</v>
      </c>
      <c r="B106" s="1"/>
      <c r="C106" s="15">
        <f t="shared" ref="C106:L106" si="23">(C107/B107)-1</f>
        <v>-1.8308177143804942</v>
      </c>
      <c r="D106" s="15">
        <f t="shared" si="23"/>
        <v>-1.1579157516470353</v>
      </c>
      <c r="E106" s="15">
        <f t="shared" si="23"/>
        <v>104.19342604298356</v>
      </c>
      <c r="F106" s="15">
        <f t="shared" si="23"/>
        <v>2.0107681953658303</v>
      </c>
      <c r="G106" s="15">
        <f t="shared" si="23"/>
        <v>0.41113683538240453</v>
      </c>
      <c r="H106" s="54">
        <f t="shared" si="23"/>
        <v>-0.12423129798199806</v>
      </c>
      <c r="I106" s="54">
        <f t="shared" si="23"/>
        <v>0.15729974160206717</v>
      </c>
      <c r="J106" s="54">
        <f t="shared" si="23"/>
        <v>0.50432598381244764</v>
      </c>
      <c r="K106" s="54">
        <f t="shared" si="23"/>
        <v>0.31168831168831179</v>
      </c>
      <c r="L106" s="54">
        <f t="shared" si="23"/>
        <v>0.19519094766619527</v>
      </c>
      <c r="M106" s="55">
        <f>SUM(H106:L106)/5</f>
        <v>0.20885473735740473</v>
      </c>
      <c r="N106" s="41" t="s">
        <v>106</v>
      </c>
      <c r="O106" s="56">
        <f>(O101*O93)+(O103*O98)</f>
        <v>8.2763951556049847E-2</v>
      </c>
    </row>
    <row r="107" spans="1:15" ht="19" x14ac:dyDescent="0.25">
      <c r="A107" s="33" t="s">
        <v>158</v>
      </c>
      <c r="B107" s="1">
        <v>6029000</v>
      </c>
      <c r="C107" s="1">
        <v>-5009000</v>
      </c>
      <c r="D107" s="1">
        <v>791000</v>
      </c>
      <c r="E107" s="1">
        <v>83208000</v>
      </c>
      <c r="F107" s="1">
        <v>250520000</v>
      </c>
      <c r="G107" s="1">
        <v>353518000</v>
      </c>
      <c r="H107" s="57">
        <v>309600000</v>
      </c>
      <c r="I107" s="57">
        <v>358300000</v>
      </c>
      <c r="J107" s="57">
        <v>539000000</v>
      </c>
      <c r="K107" s="57">
        <v>707000000</v>
      </c>
      <c r="L107" s="57">
        <v>845000000</v>
      </c>
      <c r="M107" s="53" t="s">
        <v>159</v>
      </c>
      <c r="N107" s="58" t="s">
        <v>143</v>
      </c>
      <c r="O107" s="42">
        <f>(SUM(H4:L4)/5)</f>
        <v>0.24822002799299306</v>
      </c>
    </row>
    <row r="108" spans="1:15" ht="19" x14ac:dyDescent="0.2">
      <c r="H108" s="74"/>
      <c r="I108" s="74"/>
      <c r="J108" s="74"/>
      <c r="K108" s="74"/>
      <c r="L108" s="59">
        <f>L107*(1+O108)/(O109-O108)</f>
        <v>14994213115.070158</v>
      </c>
      <c r="M108" s="60" t="s">
        <v>144</v>
      </c>
      <c r="N108" s="61" t="s">
        <v>145</v>
      </c>
      <c r="O108" s="43">
        <v>2.5000000000000001E-2</v>
      </c>
    </row>
    <row r="109" spans="1:15" ht="19" x14ac:dyDescent="0.2">
      <c r="H109" s="59">
        <f t="shared" ref="H109:K109" si="24">H108+H107</f>
        <v>309600000</v>
      </c>
      <c r="I109" s="59">
        <f t="shared" si="24"/>
        <v>358300000</v>
      </c>
      <c r="J109" s="59">
        <f t="shared" si="24"/>
        <v>539000000</v>
      </c>
      <c r="K109" s="59">
        <f t="shared" si="24"/>
        <v>707000000</v>
      </c>
      <c r="L109" s="59">
        <f>L108+L107</f>
        <v>15839213115.070158</v>
      </c>
      <c r="M109" s="60" t="s">
        <v>141</v>
      </c>
      <c r="N109" s="62" t="s">
        <v>146</v>
      </c>
      <c r="O109" s="42">
        <f>O106</f>
        <v>8.2763951556049847E-2</v>
      </c>
    </row>
    <row r="110" spans="1:15" ht="19" x14ac:dyDescent="0.2">
      <c r="H110" s="78" t="s">
        <v>147</v>
      </c>
      <c r="I110" s="78"/>
      <c r="J110" s="46"/>
      <c r="K110" s="46"/>
      <c r="L110" s="46"/>
      <c r="M110" s="46"/>
      <c r="N110" s="46"/>
      <c r="O110" s="46"/>
    </row>
    <row r="111" spans="1:15" ht="20" x14ac:dyDescent="0.2">
      <c r="H111" s="63" t="s">
        <v>148</v>
      </c>
      <c r="I111" s="51">
        <f>NPV(O109,H109,I109,J109,K109,L109)</f>
        <v>12173555235.349691</v>
      </c>
      <c r="J111" s="46"/>
      <c r="K111" s="46"/>
      <c r="L111" s="46"/>
      <c r="M111" s="46"/>
      <c r="N111" s="46"/>
      <c r="O111" s="46"/>
    </row>
    <row r="112" spans="1:15" ht="20" x14ac:dyDescent="0.2">
      <c r="H112" s="63" t="s">
        <v>149</v>
      </c>
      <c r="I112" s="51">
        <f>G40</f>
        <v>1884326000</v>
      </c>
      <c r="J112" s="46"/>
      <c r="K112" s="46"/>
      <c r="L112" s="46"/>
      <c r="M112" s="46"/>
      <c r="N112" s="46"/>
      <c r="O112" s="46"/>
    </row>
    <row r="113" spans="8:15" ht="20" x14ac:dyDescent="0.2">
      <c r="H113" s="63" t="s">
        <v>137</v>
      </c>
      <c r="I113" s="51">
        <f>O100</f>
        <v>837521000</v>
      </c>
      <c r="J113" s="46"/>
      <c r="K113" s="46"/>
      <c r="L113" s="46"/>
      <c r="M113" s="46"/>
      <c r="N113" s="46"/>
      <c r="O113" s="46"/>
    </row>
    <row r="114" spans="8:15" ht="20" x14ac:dyDescent="0.2">
      <c r="H114" s="63" t="s">
        <v>150</v>
      </c>
      <c r="I114" s="51">
        <f>I111+I112-I113</f>
        <v>13220360235.349691</v>
      </c>
      <c r="J114" s="46"/>
      <c r="K114" s="46"/>
      <c r="L114" s="46"/>
      <c r="M114" s="46"/>
      <c r="N114" s="46"/>
      <c r="O114" s="46"/>
    </row>
    <row r="115" spans="8:15" ht="20" x14ac:dyDescent="0.2">
      <c r="H115" s="63" t="s">
        <v>167</v>
      </c>
      <c r="I115" s="63">
        <f>H34*(1+(5*M16))</f>
        <v>368604888.16661316</v>
      </c>
      <c r="J115" s="46"/>
      <c r="K115" s="46"/>
      <c r="L115" s="46"/>
      <c r="M115" s="46"/>
      <c r="N115" s="46"/>
      <c r="O115" s="46"/>
    </row>
    <row r="116" spans="8:15" ht="20" x14ac:dyDescent="0.2">
      <c r="H116" s="64" t="s">
        <v>151</v>
      </c>
      <c r="I116" s="65">
        <f>I114/I115</f>
        <v>35.865938460843076</v>
      </c>
      <c r="J116" s="46"/>
      <c r="K116" s="46"/>
      <c r="L116" s="46"/>
      <c r="M116" s="46"/>
      <c r="N116" s="46"/>
      <c r="O116" s="46"/>
    </row>
    <row r="117" spans="8:15" ht="20" x14ac:dyDescent="0.2">
      <c r="H117" s="63" t="s">
        <v>152</v>
      </c>
      <c r="I117" s="66" cm="1">
        <f t="array" ref="I117">_FV(A1,"Price")</f>
        <v>81.680000000000007</v>
      </c>
      <c r="J117" s="46"/>
      <c r="K117" s="46"/>
      <c r="L117" s="46"/>
      <c r="M117" s="46"/>
      <c r="N117" s="46"/>
      <c r="O117" s="46"/>
    </row>
    <row r="118" spans="8:15" ht="20" x14ac:dyDescent="0.2">
      <c r="H118" s="64" t="s">
        <v>153</v>
      </c>
      <c r="I118" s="67">
        <f>I116/I117-1</f>
        <v>-0.56089693363316506</v>
      </c>
      <c r="J118" s="46"/>
      <c r="K118" s="46"/>
      <c r="L118" s="46"/>
      <c r="M118" s="46"/>
      <c r="N118" s="46"/>
      <c r="O118" s="46"/>
    </row>
    <row r="119" spans="8:15" ht="20" x14ac:dyDescent="0.2">
      <c r="H119" s="64" t="s">
        <v>154</v>
      </c>
      <c r="I119" s="68" t="str">
        <f>IF(I116&gt;I117,"BUY","SELL")</f>
        <v>SELL</v>
      </c>
      <c r="J119" s="46"/>
      <c r="K119" s="46"/>
      <c r="L119" s="46"/>
      <c r="M119" s="46"/>
      <c r="N119" s="46"/>
      <c r="O119" s="46"/>
    </row>
  </sheetData>
  <mergeCells count="7">
    <mergeCell ref="N84:O84"/>
    <mergeCell ref="N85:O85"/>
    <mergeCell ref="H110:I110"/>
    <mergeCell ref="H104:L104"/>
    <mergeCell ref="N105:O105"/>
    <mergeCell ref="N99:O99"/>
    <mergeCell ref="N94:O94"/>
  </mergeCells>
  <hyperlinks>
    <hyperlink ref="A1" r:id="rId1" tooltip="https://roic.ai/company/DDOG" display="ROIC.AI | DDO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1550/000156459020006422/0001564590-20-006422-index.htm" xr:uid="{00000000-0004-0000-0000-000007000000}"/>
    <hyperlink ref="D74" r:id="rId7" tooltip="https://www.sec.gov/Archives/edgar/data/1561550/000156459020006422/0001564590-20-006422-index.htm" xr:uid="{00000000-0004-0000-0000-000008000000}"/>
    <hyperlink ref="E36" r:id="rId8" tooltip="https://www.sec.gov/Archives/edgar/data/1561550/000156459021009770/0001564590-21-009770-index.htm" xr:uid="{00000000-0004-0000-0000-00000A000000}"/>
    <hyperlink ref="E74" r:id="rId9" tooltip="https://www.sec.gov/Archives/edgar/data/1561550/000156459021009770/0001564590-21-009770-index.htm" xr:uid="{00000000-0004-0000-0000-00000B000000}"/>
    <hyperlink ref="F36" r:id="rId10" tooltip="https://www.sec.gov/Archives/edgar/data/1561550/000156155022000009/0001561550-22-000009-index.htm" xr:uid="{00000000-0004-0000-0000-00000D000000}"/>
    <hyperlink ref="F74" r:id="rId11" tooltip="https://www.sec.gov/Archives/edgar/data/1561550/000156155022000009/0001561550-22-000009-index.htm" xr:uid="{00000000-0004-0000-0000-00000E000000}"/>
    <hyperlink ref="G36" r:id="rId12" tooltip="https://www.sec.gov/Archives/edgar/data/1561550/000156155023000006/0001561550-23-000006-index.htm" xr:uid="{00000000-0004-0000-0000-000010000000}"/>
    <hyperlink ref="G74" r:id="rId13" tooltip="https://www.sec.gov/Archives/edgar/data/1561550/000156155023000006/0001561550-23-000006-index.htm" xr:uid="{00000000-0004-0000-0000-000011000000}"/>
    <hyperlink ref="H1" r:id="rId14" display="https://finbox.com/NASDAQGS:DDOG/explorer/revenue_proj" xr:uid="{3169BC1B-53C1-C64C-93F3-6AAE0E545185}"/>
    <hyperlink ref="M107" r:id="rId15" xr:uid="{BFB3513A-4708-F941-AF41-31DBCCA5C6AF}"/>
  </hyperlinks>
  <pageMargins left="0.7" right="0.7" top="0.75" bottom="0.75" header="0.3" footer="0.3"/>
  <drawing r:id="rId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2023-03-14T02:21:39Z</dcterms:created>
  <dcterms:modified xsi:type="dcterms:W3CDTF">2023-10-30T07:00:50Z</dcterms:modified>
</cp:coreProperties>
</file>