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7E2827C-D570-0243-B670-5A8291D93DE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M95" i="1"/>
  <c r="N7" i="1"/>
  <c r="M7" i="1"/>
  <c r="L7" i="1"/>
  <c r="K7" i="1"/>
  <c r="F6" i="1"/>
  <c r="E7" i="1"/>
  <c r="F34" i="1" a="1"/>
  <c r="F34" i="1" s="1"/>
  <c r="F35" i="1" s="1"/>
  <c r="K16" i="1" s="1"/>
  <c r="F33" i="1" a="1"/>
  <c r="F33" i="1" s="1"/>
  <c r="J106" i="1" l="1"/>
  <c r="I106" i="1"/>
  <c r="H106" i="1"/>
  <c r="G106" i="1"/>
  <c r="F106" i="1"/>
  <c r="F109" i="1"/>
  <c r="G109" i="1"/>
  <c r="H109" i="1"/>
  <c r="I109" i="1"/>
  <c r="B105" i="1"/>
  <c r="C105" i="1"/>
  <c r="D105" i="1"/>
  <c r="E105" i="1"/>
  <c r="F29" i="1"/>
  <c r="G29" i="1"/>
  <c r="H29" i="1"/>
  <c r="I29" i="1"/>
  <c r="J29" i="1"/>
  <c r="F30" i="1"/>
  <c r="G30" i="1"/>
  <c r="H30" i="1"/>
  <c r="I30" i="1"/>
  <c r="J30" i="1"/>
  <c r="F20" i="1"/>
  <c r="G20" i="1"/>
  <c r="H20" i="1"/>
  <c r="I20" i="1"/>
  <c r="J20" i="1"/>
  <c r="F21" i="1"/>
  <c r="G21" i="1"/>
  <c r="H21" i="1"/>
  <c r="I21" i="1"/>
  <c r="J21" i="1"/>
  <c r="M86" i="1"/>
  <c r="M93" i="1" s="1"/>
  <c r="G117" i="1" a="1"/>
  <c r="G117" i="1" s="1"/>
  <c r="M102" i="1" a="1"/>
  <c r="M102" i="1" s="1"/>
  <c r="M16" i="1" s="1"/>
  <c r="M87" i="1"/>
  <c r="M96" i="1" a="1"/>
  <c r="M96" i="1" s="1"/>
  <c r="G112" i="1"/>
  <c r="M91" i="1"/>
  <c r="M90" i="1"/>
  <c r="M92" i="1" s="1"/>
  <c r="M88" i="1"/>
  <c r="M100" i="1"/>
  <c r="N22" i="1" l="1"/>
  <c r="K106" i="1"/>
  <c r="N19" i="1"/>
  <c r="M22" i="1"/>
  <c r="N16" i="1"/>
  <c r="L19" i="1"/>
  <c r="L16" i="1"/>
  <c r="M104" i="1"/>
  <c r="M103" i="1" s="1"/>
  <c r="G113" i="1"/>
  <c r="M101" i="1" l="1"/>
  <c r="G115" i="1" l="1"/>
  <c r="K19" i="1"/>
  <c r="N13" i="1"/>
  <c r="M13" i="1"/>
  <c r="L13" i="1"/>
  <c r="K13" i="1"/>
  <c r="N10" i="1"/>
  <c r="M10" i="1"/>
  <c r="L10" i="1"/>
  <c r="K10"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7" i="1" l="1"/>
  <c r="D107" i="1"/>
  <c r="D106" i="1" s="1"/>
  <c r="E107" i="1"/>
  <c r="E48" i="1"/>
  <c r="E40" i="1"/>
  <c r="E32" i="1"/>
  <c r="E31" i="1"/>
  <c r="E30" i="1"/>
  <c r="E26" i="1"/>
  <c r="E23" i="1"/>
  <c r="E21" i="1"/>
  <c r="E15" i="1"/>
  <c r="E16" i="1" s="1"/>
  <c r="E12" i="1"/>
  <c r="E13" i="1" s="1"/>
  <c r="E6" i="1"/>
  <c r="E106" i="1" l="1"/>
  <c r="N4" i="1" s="1"/>
  <c r="M98" i="1" l="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<sst xmlns="http://schemas.openxmlformats.org/spreadsheetml/2006/main" count="272" uniqueCount="169">
  <si>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</si>
  <si>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</si>
  <si>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</si>
  <si>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</si>
  <si>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</si>
  <si>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</si>
  <si>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</si>
  <si>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</si>
  <si>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</si>
  <si>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</si>
  <si>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</si>
  <si>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</si>
  <si>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</si>
  <si>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</si>
  <si>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</si>
  <si>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</si>
  <si>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</si>
  <si>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</si>
  <si>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</si>
  <si>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</si>
  <si>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</si>
  <si>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</si>
  <si>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</si>
  <si>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</si>
  <si>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</si>
  <si>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</si>
  <si>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</si>
  <si>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</si>
  <si>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</si>
  <si>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</si>
  <si>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</si>
  <si>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</si>
  <si>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</si>
  <si>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</si>
  <si>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</si>
  <si>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</si>
  <si>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</si>
  <si>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</si>
  <si>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</si>
  <si>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</si>
  <si>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</si>
  <si>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</si>
  <si>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</si>
  <si>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</si>
  <si>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</si>
  <si>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</si>
  <si>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</si>
  <si>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</si>
  <si>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</si>
  <si>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</si>
  <si>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</si>
  <si>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</si>
  <si>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</si>
  <si>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</si>
  <si>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</si>
  <si>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</si>
  <si>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</si>
  <si>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</si>
  <si>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</si>
  <si>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</si>
  <si>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</si>
  <si>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</si>
  <si>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</si>
  <si>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</si>
  <si>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</si>
  <si>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</si>
  <si>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</si>
  <si>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</si>
  <si>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</si>
  <si>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</si>
  <si>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</si>
  <si>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</si>
  <si>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</si>
  <si>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</si>
  <si>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</si>
  <si>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</si>
  <si>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</si>
  <si>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</si>
  <si>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</si>
  <si>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</si>
  <si>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</si>
  <si>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</si>
  <si>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</si>
  <si>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</si>
  <si>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</si>
  <si>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</si>
  <si>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</si>
  <si>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</si>
  <si>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</si>
  <si>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</si>
  <si>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</si>
  <si>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</si>
  <si>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</si>
  <si>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</si>
  <si>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</si>
  <si>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</si>
  <si>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</si>
  <si>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</si>
  <si>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</si>
  <si>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</si>
  <si>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</si>
  <si>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</si>
  <si>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</si>
  <si>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</si>
  <si>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</si>
  <si>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</si>
  <si>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</si>
  <si>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</si>
  <si>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</si>
  <si>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</si>
  <si>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</si>
  <si>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</si>
  <si>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</si>
  <si>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</si>
  <si>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</si>
  <si>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</si>
  <si>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</si>
  <si>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</si>
  <si>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</si>
  <si>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</si>
  <si>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</si>
  <si>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</si>
  <si>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</si>
  <si>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</si>
  <si>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</si>
  <si>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</si>
  <si>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</si>
  <si>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</si>
  <si>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</si>
  <si>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</si>
  <si>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</si>
  <si>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</si>
  <si>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</si>
  <si>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</si>
  <si>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</si>
  <si>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</si>
  <si>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</si>
  <si>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</si>
  <si>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</si>
  <si>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</si>
  <si>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</si>
  <si>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</si>
  <si>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</si>
  <si>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</si>
  <si>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</si>
  <si>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</si>
  <si>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</si>
  <si>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</si>
  <si>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</si>
  <si>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</si>
  <si>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</si>
  <si>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</si>
  <si>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</si>
  <si>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</si>
  <si>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</si>
  <si>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</si>
  <si>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</si>
  <si>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</si>
  <si>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</si>
  <si>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</si>
  <si>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Forecast</t>
  </si>
  <si>
    <t>Shares</t>
  </si>
  <si>
    <t>Forward P/FCF</t>
  </si>
  <si>
    <t>Dividend Yield</t>
  </si>
  <si>
    <t>Share Dilution (4yr)</t>
  </si>
  <si>
    <t>5Y Fwd FCF CAGR</t>
  </si>
  <si>
    <t>-</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</si>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</sst>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169" fontId="11" fillId="0" borderId="7" xfId="0" applyNumberFormat="1" applyFont="1" applyBorder="1" applyAlignment="1">
      <alignment horizontal="center"/>
    </xf>
    <xf numFmtId="169" fontId="11" fillId="0" borderId="8" xfId="0" applyNumberFormat="1" applyFont="1" applyBorder="1" applyAlignment="1">
      <alignment horizontal="center"/>
    </xf>
    <xf numFmtId="0" fontId="11" fillId="6" borderId="0" xfId="0" applyFont="1" applyFill="1" applyAlignment="1">
      <alignment horizontal="left" vertical="center" wrapText="1"/>
    </xf>
    <xf numFmtId="0" fontId="10" fillId="6" borderId="0" xfId="0" applyFont="1" applyFill="1" applyAlignment="1">
      <alignment horizontal="left" vertical="center" wrapText="1"/>
    </xf>
    <xf numFmtId="0" fontId="10"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5" xfId="0" applyFont="1" applyFill="1" applyBorder="1" applyAlignment="1">
      <alignment horizontal="center" vertical="center" wrapText="1"/>
    </xf>
    <xf numFmtId="0" fontId="0" fillId="0" borderId="0" xfId="0" applyAlignment="1">
      <alignment vertical="center"/>
    </xf>
    <xf numFmtId="164" fontId="11" fillId="6" borderId="0" xfId="0" applyNumberFormat="1" applyFont="1" applyFill="1" applyAlignment="1">
      <alignment vertical="center"/>
    </xf>
    <xf numFmtId="10" fontId="10" fillId="6" borderId="0" xfId="0" applyNumberFormat="1" applyFont="1" applyFill="1" applyAlignment="1">
      <alignment vertical="center"/>
    </xf>
    <xf numFmtId="9" fontId="1" fillId="0" borderId="0" xfId="0" applyNumberFormat="1" applyFont="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64" fontId="1" fillId="6" borderId="0" xfId="0" applyNumberFormat="1" applyFont="1" applyFill="1" applyAlignment="1">
      <alignment vertical="center"/>
    </xf>
    <xf numFmtId="164" fontId="10"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0" fillId="4" borderId="0" xfId="0" applyNumberFormat="1" applyFont="1" applyFill="1" applyAlignment="1">
      <alignment vertical="center"/>
    </xf>
    <xf numFmtId="164" fontId="9" fillId="7" borderId="0" xfId="0" applyNumberFormat="1" applyFont="1" applyFill="1" applyAlignment="1">
      <alignment vertical="center"/>
    </xf>
    <xf numFmtId="9" fontId="15"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5" fillId="7" borderId="0" xfId="0" applyFont="1" applyFill="1" applyAlignment="1">
      <alignment vertical="center" wrapText="1"/>
    </xf>
    <xf numFmtId="0" fontId="15"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0" fillId="4" borderId="0" xfId="0" applyNumberFormat="1" applyFont="1" applyFill="1" applyAlignment="1">
      <alignment vertical="center"/>
    </xf>
    <xf numFmtId="167" fontId="1" fillId="6" borderId="0" xfId="0" applyNumberFormat="1" applyFont="1" applyFill="1" applyAlignment="1">
      <alignment vertical="center"/>
    </xf>
    <xf numFmtId="9" fontId="10" fillId="4" borderId="0" xfId="1" applyFont="1" applyFill="1" applyBorder="1" applyAlignment="1">
      <alignment vertical="center"/>
    </xf>
    <xf numFmtId="0" fontId="10" fillId="4" borderId="0" xfId="0" applyFont="1" applyFill="1" applyAlignment="1">
      <alignment horizontal="right" vertical="center"/>
    </xf>
    <xf numFmtId="10" fontId="2" fillId="0" borderId="0" xfId="1" applyNumberFormat="1" applyFont="1"/>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165" fontId="9" fillId="0" borderId="10" xfId="0" applyNumberFormat="1" applyFont="1" applyBorder="1"/>
    <xf numFmtId="10" fontId="11"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2" fontId="11" fillId="0" borderId="8" xfId="0" applyNumberFormat="1" applyFont="1" applyBorder="1" applyAlignment="1">
      <alignment horizontal="center"/>
    </xf>
    <xf numFmtId="0" fontId="14" fillId="4" borderId="0" xfId="0" applyFont="1" applyFill="1" applyAlignment="1">
      <alignment horizontal="center" vertical="center"/>
    </xf>
    <xf numFmtId="0" fontId="16" fillId="4" borderId="0" xfId="0" applyFont="1" applyFill="1" applyAlignment="1">
      <alignment horizontal="center" vertical="center"/>
    </xf>
    <xf numFmtId="0" fontId="10" fillId="5" borderId="0" xfId="0" applyFont="1" applyFill="1" applyAlignment="1">
      <alignment horizontal="center" vertical="center" wrapText="1"/>
    </xf>
    <xf numFmtId="0" fontId="1" fillId="4" borderId="0" xfId="0" applyFont="1" applyFill="1" applyAlignment="1">
      <alignment horizontal="center" vertical="center"/>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GitLab</a:t>
            </a:r>
            <a:endParaRPr lang="en-US"/>
          </a:p>
        </c:rich>
      </c:tx>
      <c:layout>
        <c:manualLayout>
          <c:xMode val="edge"/>
          <c:yMode val="edge"/>
          <c:x val="0.45361449752883032"/>
          <c:y val="2.89272836926297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56013179571667E-2"/>
          <c:y val="0.15919648458843919"/>
          <c:w val="0.84272817133443167"/>
          <c:h val="0.645157894124117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1'!$B$3:$J$3</c:f>
              <c:numCache>
                <c:formatCode>#,###,,;\(#,###,,\);\ \-\ \-</c:formatCode>
                <c:ptCount val="9"/>
                <c:pt idx="0">
                  <c:v>81227000</c:v>
                </c:pt>
                <c:pt idx="1">
                  <c:v>152176000</c:v>
                </c:pt>
                <c:pt idx="2">
                  <c:v>252653000</c:v>
                </c:pt>
                <c:pt idx="3">
                  <c:v>424300000</c:v>
                </c:pt>
                <c:pt idx="4">
                  <c:v>542100000</c:v>
                </c:pt>
                <c:pt idx="5">
                  <c:v>697000000</c:v>
                </c:pt>
                <c:pt idx="6">
                  <c:v>895500000</c:v>
                </c:pt>
                <c:pt idx="7">
                  <c:v>1335000000</c:v>
                </c:pt>
                <c:pt idx="8">
                  <c:v>1660000000</c:v>
                </c:pt>
              </c:numCache>
            </c:numRef>
          </c:val>
          <c:extLst>
            <c:ext xmlns:c16="http://schemas.microsoft.com/office/drawing/2014/chart" uri="{C3380CC4-5D6E-409C-BE32-E72D297353CC}">
              <c16:uniqueId val="{00000000-F1F0-6F45-8FD1-E1036D9B8BE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1'!$B$28:$J$28</c:f>
              <c:numCache>
                <c:formatCode>#,###,,;\(#,###,,\);\ \-\ \-</c:formatCode>
                <c:ptCount val="9"/>
                <c:pt idx="0">
                  <c:v>-130741000</c:v>
                </c:pt>
                <c:pt idx="1">
                  <c:v>-192194000</c:v>
                </c:pt>
                <c:pt idx="2">
                  <c:v>-155138000</c:v>
                </c:pt>
                <c:pt idx="3">
                  <c:v>-163926000</c:v>
                </c:pt>
                <c:pt idx="4">
                  <c:v>-23000000</c:v>
                </c:pt>
                <c:pt idx="5">
                  <c:v>6000000</c:v>
                </c:pt>
                <c:pt idx="6">
                  <c:v>92700000</c:v>
                </c:pt>
                <c:pt idx="7">
                  <c:v>317600000</c:v>
                </c:pt>
                <c:pt idx="8">
                  <c:v>547700000</c:v>
                </c:pt>
              </c:numCache>
            </c:numRef>
          </c:val>
          <c:extLst>
            <c:ext xmlns:c16="http://schemas.microsoft.com/office/drawing/2014/chart" uri="{C3380CC4-5D6E-409C-BE32-E72D297353CC}">
              <c16:uniqueId val="{00000001-F1F0-6F45-8FD1-E1036D9B8BE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'Sheet 1'!$B$107:$J$107</c:f>
              <c:numCache>
                <c:formatCode>#,###,,;\(#,###,,\);\ \-\ \-</c:formatCode>
                <c:ptCount val="9"/>
                <c:pt idx="0">
                  <c:v>-60166000</c:v>
                </c:pt>
                <c:pt idx="1">
                  <c:v>-74513000</c:v>
                </c:pt>
                <c:pt idx="2">
                  <c:v>-53355000</c:v>
                </c:pt>
                <c:pt idx="3">
                  <c:v>-83478000</c:v>
                </c:pt>
                <c:pt idx="4">
                  <c:v>14000000</c:v>
                </c:pt>
                <c:pt idx="5">
                  <c:v>67000000</c:v>
                </c:pt>
                <c:pt idx="6">
                  <c:v>125000000</c:v>
                </c:pt>
                <c:pt idx="7">
                  <c:v>182000000</c:v>
                </c:pt>
                <c:pt idx="8">
                  <c:v>463000000</c:v>
                </c:pt>
              </c:numCache>
            </c:numRef>
          </c:val>
          <c:extLst>
            <c:ext xmlns:c16="http://schemas.microsoft.com/office/drawing/2014/chart" uri="{C3380CC4-5D6E-409C-BE32-E72D297353CC}">
              <c16:uniqueId val="{00000002-F1F0-6F45-8FD1-E1036D9B8BE7}"/>
            </c:ext>
          </c:extLst>
        </c:ser>
        <c:dLbls>
          <c:showLegendKey val="0"/>
          <c:showVal val="0"/>
          <c:showCatName val="0"/>
          <c:showSerName val="0"/>
          <c:showPercent val="0"/>
          <c:showBubbleSize val="0"/>
        </c:dLbls>
        <c:gapWidth val="150"/>
        <c:overlap val="100"/>
        <c:axId val="1648883632"/>
        <c:axId val="2130761376"/>
      </c:barChart>
      <c:catAx>
        <c:axId val="1648883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30761376"/>
        <c:crosses val="autoZero"/>
        <c:auto val="1"/>
        <c:lblAlgn val="ctr"/>
        <c:lblOffset val="100"/>
        <c:noMultiLvlLbl val="0"/>
      </c:catAx>
      <c:valAx>
        <c:axId val="21307613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8883632"/>
        <c:crosses val="autoZero"/>
        <c:crossBetween val="between"/>
      </c:valAx>
      <c:spPr>
        <a:noFill/>
        <a:ln>
          <a:noFill/>
        </a:ln>
        <a:effectLst/>
      </c:spPr>
    </c:plotArea>
    <c:legend>
      <c:legendPos val="b"/>
      <c:layout>
        <c:manualLayout>
          <c:xMode val="edge"/>
          <c:yMode val="edge"/>
          <c:x val="0.34494467433745418"/>
          <c:y val="0.87626031720803887"/>
          <c:w val="0.31274646188172112"/>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1587</xdr:rowOff>
    </xdr:from>
    <xdr:to>
      <xdr:col>13</xdr:col>
      <xdr:colOff>31749</xdr:colOff>
      <xdr:row>125</xdr:row>
      <xdr:rowOff>190499</xdr:rowOff>
    </xdr:to>
    <xdr:graphicFrame macro="">
      <xdr:nvGraphicFramePr>
        <xdr:cNvPr id="3" name="Chart 2">
          <a:extLst>
            <a:ext uri="{FF2B5EF4-FFF2-40B4-BE49-F238E27FC236}">
              <a16:creationId xmlns:a16="http://schemas.microsoft.com/office/drawing/2014/main" id="{4D2126FC-36F4-EFF2-9B67-D1CD25EED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58.7</v>
    <v>26.24</v>
    <v>2.5139999999999998</v>
    <v>0.97</v>
    <v>2.3504000000000001E-2</v>
    <v>-0.38</v>
    <v>-8.9959999999999988E-3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42.954999999999998</v>
    <v>Software &amp; IT Services</v>
    <v>Stock</v>
    <v>45226.986490925781</v>
    <v>0</v>
    <v>41.38</v>
    <v>6534528000</v>
    <v>Gitlab Inc.</v>
    <v>Gitlab Inc.</v>
    <v>41.88</v>
    <v>41.27</v>
    <v>42.24</v>
    <v>41.86</v>
    <v>154700000</v>
    <v>GTLB</v>
    <v>Gitlab Inc. (XNAS:GTLB)</v>
    <v>1350679</v>
    <v>1367858</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6" activePane="bottomRight" state="frozen"/>
      <selection pane="topRight"/>
      <selection pane="bottomLeft"/>
      <selection pane="bottomRight" activeCell="F129" sqref="F129"/>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542100000</v>
      </c>
      <c r="G3" s="15">
        <v>697000000</v>
      </c>
      <c r="H3" s="15">
        <v>895500000</v>
      </c>
      <c r="I3" s="15">
        <v>1335000000</v>
      </c>
      <c r="J3" s="15">
        <v>1660000000</v>
      </c>
      <c r="K3" s="16" t="s">
        <v>93</v>
      </c>
      <c r="L3" s="17" t="s">
        <v>94</v>
      </c>
      <c r="M3" s="17" t="s">
        <v>95</v>
      </c>
      <c r="N3" s="17" t="s">
        <v>96</v>
      </c>
    </row>
    <row r="4" spans="1:38" ht="19" x14ac:dyDescent="0.25">
      <c r="A4" s="24" t="s">
        <v>113</v>
      </c>
      <c r="B4" s="1"/>
      <c r="C4" s="21">
        <f>(C3/B3)-1</f>
        <v>0.87346571952675833</v>
      </c>
      <c r="D4" s="21">
        <f>(D3/C3)-1</f>
        <v>0.66026837346230671</v>
      </c>
      <c r="E4" s="21">
        <f>(E3/D3)-1</f>
        <v>0.67937843603677761</v>
      </c>
      <c r="F4" s="18">
        <f t="shared" ref="F4:J4" si="0">(F3/E3)-1</f>
        <v>0.27763374970539711</v>
      </c>
      <c r="G4" s="18">
        <f t="shared" si="0"/>
        <v>0.28574063825862384</v>
      </c>
      <c r="H4" s="18">
        <f t="shared" si="0"/>
        <v>0.2847919655667146</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F6" s="30">
        <f>F3*F7</f>
        <v>485016870</v>
      </c>
      <c r="K6" s="68" t="s">
        <v>97</v>
      </c>
      <c r="L6" s="69" t="s">
        <v>98</v>
      </c>
      <c r="M6" s="69" t="s">
        <v>99</v>
      </c>
      <c r="N6" s="69" t="s">
        <v>100</v>
      </c>
    </row>
    <row r="7" spans="1:38" ht="19" x14ac:dyDescent="0.25">
      <c r="A7" s="5" t="s">
        <v>4</v>
      </c>
      <c r="B7" s="2">
        <v>0.88460000000000005</v>
      </c>
      <c r="C7" s="2">
        <v>0.87870000000000004</v>
      </c>
      <c r="D7" s="2">
        <v>0.88129999999999997</v>
      </c>
      <c r="E7" s="67">
        <f>0.8782</f>
        <v>0.87819999999999998</v>
      </c>
      <c r="F7" s="2">
        <v>0.89470000000000005</v>
      </c>
      <c r="K7" s="19">
        <f>F7</f>
        <v>0.89470000000000005</v>
      </c>
      <c r="L7" s="20">
        <f>F21</f>
        <v>-5.5340343110127282E-2</v>
      </c>
      <c r="M7" s="20">
        <f>F30</f>
        <v>-4.2427596384430916E-2</v>
      </c>
      <c r="N7" s="20">
        <f>F107/F3</f>
        <v>2.5825493451392734E-2</v>
      </c>
    </row>
    <row r="8" spans="1:38" ht="19" x14ac:dyDescent="0.25">
      <c r="A8" s="5" t="s">
        <v>5</v>
      </c>
      <c r="B8" s="1">
        <v>59364000</v>
      </c>
      <c r="C8" s="1">
        <v>106643000</v>
      </c>
      <c r="D8" s="1">
        <v>97217000</v>
      </c>
      <c r="E8" s="1">
        <v>156143000</v>
      </c>
    </row>
    <row r="9" spans="1:38" ht="19" customHeight="1" x14ac:dyDescent="0.25">
      <c r="A9" s="24" t="s">
        <v>114</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115</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75">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164</v>
      </c>
      <c r="L15" s="17" t="s">
        <v>109</v>
      </c>
      <c r="M15" s="17" t="s">
        <v>110</v>
      </c>
      <c r="N15" s="17" t="s">
        <v>111</v>
      </c>
    </row>
    <row r="16" spans="1:38" ht="19" x14ac:dyDescent="0.25">
      <c r="A16" s="5" t="s">
        <v>11</v>
      </c>
      <c r="B16" s="1">
        <v>209594000</v>
      </c>
      <c r="C16" s="1">
        <v>366060000</v>
      </c>
      <c r="D16" s="1">
        <v>381610000</v>
      </c>
      <c r="E16" s="1">
        <f>E15+E5</f>
        <v>635747000</v>
      </c>
      <c r="K16" s="22">
        <f>AVERAGE(B35:F35)</f>
        <v>3.6985512862226511E-2</v>
      </c>
      <c r="L16" s="28">
        <f>M102/E3</f>
        <v>15.400725901484799</v>
      </c>
      <c r="M16" s="28">
        <f>M102/E28</f>
        <v>-39.8626697412247</v>
      </c>
      <c r="N16" s="27">
        <f>M102/E107</f>
        <v>-78.278444620139439</v>
      </c>
    </row>
    <row r="17" spans="1:14" ht="19" x14ac:dyDescent="0.25">
      <c r="A17" s="5" t="s">
        <v>12</v>
      </c>
      <c r="B17" s="1" t="s">
        <v>91</v>
      </c>
      <c r="C17" s="1" t="s">
        <v>91</v>
      </c>
      <c r="D17" s="1">
        <v>736000</v>
      </c>
      <c r="E17" s="1">
        <v>14496000</v>
      </c>
    </row>
    <row r="18" spans="1:14" ht="20" x14ac:dyDescent="0.25">
      <c r="A18" s="5" t="s">
        <v>13</v>
      </c>
      <c r="B18" s="1" t="s">
        <v>91</v>
      </c>
      <c r="C18" s="1">
        <v>222000</v>
      </c>
      <c r="D18" s="1">
        <v>1208000</v>
      </c>
      <c r="E18" s="1">
        <v>1208000</v>
      </c>
      <c r="K18" s="16" t="s">
        <v>112</v>
      </c>
      <c r="L18" s="17" t="s">
        <v>155</v>
      </c>
      <c r="M18" s="17" t="s">
        <v>156</v>
      </c>
      <c r="N18" s="17" t="s">
        <v>162</v>
      </c>
    </row>
    <row r="19" spans="1:14" ht="19" x14ac:dyDescent="0.25">
      <c r="A19" s="6" t="s">
        <v>14</v>
      </c>
      <c r="B19" s="10">
        <v>-129541000</v>
      </c>
      <c r="C19" s="10">
        <v>-189140000</v>
      </c>
      <c r="D19" s="10">
        <v>-154705000</v>
      </c>
      <c r="E19" s="10">
        <v>-211411000</v>
      </c>
      <c r="F19" s="30">
        <v>-30000000</v>
      </c>
      <c r="G19" s="30">
        <v>-12000000</v>
      </c>
      <c r="H19" s="30">
        <v>48855000</v>
      </c>
      <c r="I19" s="30">
        <v>172900000</v>
      </c>
      <c r="J19" s="30">
        <v>298100000</v>
      </c>
      <c r="K19" s="23">
        <f>E40-E56-E61</f>
        <v>936651000</v>
      </c>
      <c r="L19" s="28">
        <f>M102/F3</f>
        <v>12.05410071942446</v>
      </c>
      <c r="M19" s="29" t="s">
        <v>166</v>
      </c>
      <c r="N19" s="27">
        <f>M102/F107</f>
        <v>466.75200000000001</v>
      </c>
    </row>
    <row r="20" spans="1:14" ht="19" customHeight="1" x14ac:dyDescent="0.25">
      <c r="A20" s="24" t="s">
        <v>116</v>
      </c>
      <c r="B20" s="1"/>
      <c r="C20" s="21">
        <f>(C19/B19)-1</f>
        <v>0.46007827637581933</v>
      </c>
      <c r="D20" s="21">
        <f>(D19/C19)-1</f>
        <v>-0.18206090726446023</v>
      </c>
      <c r="E20" s="21">
        <f>(E19/D19)-1</f>
        <v>0.36654277495879262</v>
      </c>
      <c r="F20" s="18">
        <f t="shared" ref="F20:J20" si="3">(F19/E19)-1</f>
        <v>-0.85809631476129433</v>
      </c>
      <c r="G20" s="18">
        <f t="shared" si="3"/>
        <v>-0.6</v>
      </c>
      <c r="H20" s="18">
        <f t="shared" si="3"/>
        <v>-5.07125</v>
      </c>
      <c r="I20" s="18">
        <f t="shared" si="3"/>
        <v>2.5390441101217891</v>
      </c>
      <c r="J20" s="18">
        <f t="shared" si="3"/>
        <v>0.72411798727588206</v>
      </c>
    </row>
    <row r="21" spans="1:14" ht="20" x14ac:dyDescent="0.25">
      <c r="A21" s="5" t="s">
        <v>15</v>
      </c>
      <c r="B21" s="2">
        <v>-1.5948</v>
      </c>
      <c r="C21" s="2">
        <v>-1.2428999999999999</v>
      </c>
      <c r="D21" s="2">
        <v>-0.61229999999999996</v>
      </c>
      <c r="E21" s="2">
        <f>E19/E3</f>
        <v>-0.49825830780108415</v>
      </c>
      <c r="F21" s="70">
        <f t="shared" ref="F21:J21" si="4">F19/F3</f>
        <v>-5.5340343110127282E-2</v>
      </c>
      <c r="G21" s="70">
        <f t="shared" si="4"/>
        <v>-1.721664275466284E-2</v>
      </c>
      <c r="H21" s="70">
        <f t="shared" si="4"/>
        <v>5.4556113902847571E-2</v>
      </c>
      <c r="I21" s="70">
        <f t="shared" si="4"/>
        <v>0.12951310861423221</v>
      </c>
      <c r="J21" s="70">
        <f t="shared" si="4"/>
        <v>0.17957831325301205</v>
      </c>
      <c r="L21" s="42" t="s">
        <v>168</v>
      </c>
      <c r="M21" s="16" t="s">
        <v>163</v>
      </c>
      <c r="N21" s="17" t="s">
        <v>167</v>
      </c>
    </row>
    <row r="22" spans="1:14" ht="19" x14ac:dyDescent="0.25">
      <c r="A22" s="6" t="s">
        <v>16</v>
      </c>
      <c r="B22" s="10">
        <v>-128367000</v>
      </c>
      <c r="C22" s="10">
        <v>-213884000</v>
      </c>
      <c r="D22" s="10">
        <v>-128957000</v>
      </c>
      <c r="E22" s="10">
        <v>-211411000</v>
      </c>
      <c r="L22" s="19" t="s">
        <v>166</v>
      </c>
      <c r="M22" s="35">
        <f>(-1*E98)/M102</f>
        <v>0</v>
      </c>
      <c r="N22" s="36">
        <f>F107/M102</f>
        <v>2.1424653777594952E-3</v>
      </c>
    </row>
    <row r="23" spans="1:14" ht="19" x14ac:dyDescent="0.25">
      <c r="A23" s="5" t="s">
        <v>17</v>
      </c>
      <c r="B23" s="2">
        <v>-1.5803</v>
      </c>
      <c r="C23" s="2">
        <v>-1.4055</v>
      </c>
      <c r="D23" s="2">
        <v>-0.51039999999999996</v>
      </c>
      <c r="E23" s="2">
        <f>E22/E3</f>
        <v>-0.49825830780108415</v>
      </c>
    </row>
    <row r="24" spans="1:14" ht="19" x14ac:dyDescent="0.25">
      <c r="A24" s="5" t="s">
        <v>18</v>
      </c>
      <c r="B24" s="1">
        <v>-1174000</v>
      </c>
      <c r="C24" s="1">
        <v>24522000</v>
      </c>
      <c r="D24" s="1">
        <v>-30114000</v>
      </c>
      <c r="E24" s="1">
        <v>36081000</v>
      </c>
    </row>
    <row r="25" spans="1:14" ht="19" x14ac:dyDescent="0.25">
      <c r="A25" s="6" t="s">
        <v>19</v>
      </c>
      <c r="B25" s="10">
        <v>-129541000</v>
      </c>
      <c r="C25" s="10">
        <v>-189362000</v>
      </c>
      <c r="D25" s="10">
        <v>-159071000</v>
      </c>
      <c r="E25" s="10">
        <v>-177798000</v>
      </c>
    </row>
    <row r="26" spans="1:14" ht="19" x14ac:dyDescent="0.25">
      <c r="A26" s="5" t="s">
        <v>20</v>
      </c>
      <c r="B26" s="2">
        <v>-1.5948</v>
      </c>
      <c r="C26" s="2">
        <v>-1.2444</v>
      </c>
      <c r="D26" s="2">
        <v>-0.62960000000000005</v>
      </c>
      <c r="E26" s="2">
        <f>E25/E3</f>
        <v>-0.41903841621494226</v>
      </c>
    </row>
    <row r="27" spans="1:14" ht="19" x14ac:dyDescent="0.25">
      <c r="A27" s="5" t="s">
        <v>21</v>
      </c>
      <c r="B27" s="1">
        <v>1200000</v>
      </c>
      <c r="C27" s="1">
        <v>2832000</v>
      </c>
      <c r="D27" s="1">
        <v>-1511000</v>
      </c>
      <c r="E27" s="1">
        <v>2898000</v>
      </c>
    </row>
    <row r="28" spans="1:14" ht="20" thickBot="1" x14ac:dyDescent="0.3">
      <c r="A28" s="7" t="s">
        <v>22</v>
      </c>
      <c r="B28" s="11">
        <v>-130741000</v>
      </c>
      <c r="C28" s="11">
        <v>-192194000</v>
      </c>
      <c r="D28" s="11">
        <v>-155138000</v>
      </c>
      <c r="E28" s="11">
        <v>-163926000</v>
      </c>
      <c r="F28" s="32">
        <v>-23000000</v>
      </c>
      <c r="G28" s="32">
        <v>6000000</v>
      </c>
      <c r="H28" s="32">
        <v>92700000</v>
      </c>
      <c r="I28" s="32">
        <v>317600000</v>
      </c>
      <c r="J28" s="32">
        <v>547700000</v>
      </c>
    </row>
    <row r="29" spans="1:14" ht="20" customHeight="1" thickTop="1" x14ac:dyDescent="0.25">
      <c r="A29" s="24" t="s">
        <v>117</v>
      </c>
      <c r="B29" s="1"/>
      <c r="C29" s="21">
        <f>(C28/B28)-1</f>
        <v>0.47003617839851319</v>
      </c>
      <c r="D29" s="21">
        <f>(D28/C28)-1</f>
        <v>-0.19280518642621514</v>
      </c>
      <c r="E29" s="21">
        <f>(E28/D28)-1</f>
        <v>5.6646340677332541E-2</v>
      </c>
      <c r="F29" s="18">
        <f t="shared" ref="F29:J29" si="5">(F28/E28)-1</f>
        <v>-0.85969278820931394</v>
      </c>
      <c r="G29" s="18">
        <f t="shared" si="5"/>
        <v>-1.2608695652173914</v>
      </c>
      <c r="H29" s="18">
        <f t="shared" si="5"/>
        <v>14.45</v>
      </c>
      <c r="I29" s="18">
        <f t="shared" si="5"/>
        <v>2.4261057173678533</v>
      </c>
      <c r="J29" s="18">
        <f t="shared" si="5"/>
        <v>0.72449622166246841</v>
      </c>
    </row>
    <row r="30" spans="1:14" ht="19" x14ac:dyDescent="0.25">
      <c r="A30" s="5" t="s">
        <v>23</v>
      </c>
      <c r="B30" s="2">
        <v>-1.6095999999999999</v>
      </c>
      <c r="C30" s="2">
        <v>-1.2629999999999999</v>
      </c>
      <c r="D30" s="2">
        <v>-0.61399999999999999</v>
      </c>
      <c r="E30" s="2">
        <f>E28/E3</f>
        <v>-0.38634456752297902</v>
      </c>
      <c r="F30" s="31">
        <f t="shared" ref="F30:J30" si="6">F28/F3</f>
        <v>-4.2427596384430916E-2</v>
      </c>
      <c r="G30" s="31">
        <f t="shared" si="6"/>
        <v>8.60832137733142E-3</v>
      </c>
      <c r="H30" s="31">
        <f t="shared" si="6"/>
        <v>0.10351758793969849</v>
      </c>
      <c r="I30" s="31">
        <f t="shared" si="6"/>
        <v>0.23790262172284643</v>
      </c>
      <c r="J30" s="31">
        <f t="shared" si="6"/>
        <v>0.32993975903614459</v>
      </c>
    </row>
    <row r="31" spans="1:14" ht="19" x14ac:dyDescent="0.25">
      <c r="A31" s="5" t="s">
        <v>24</v>
      </c>
      <c r="B31" s="12">
        <v>-1.01</v>
      </c>
      <c r="C31" s="12">
        <v>-1.48</v>
      </c>
      <c r="D31" s="12">
        <v>-1.21</v>
      </c>
      <c r="E31" s="12">
        <f>E28/E33</f>
        <v>-1.104570539125513</v>
      </c>
      <c r="F31" s="33">
        <v>-0.15</v>
      </c>
      <c r="G31" s="33">
        <v>0.04</v>
      </c>
      <c r="H31" s="33">
        <v>0.61</v>
      </c>
      <c r="I31" s="33">
        <v>2.08</v>
      </c>
      <c r="J31" s="33">
        <v>3.58</v>
      </c>
    </row>
    <row r="32" spans="1:14" ht="19" x14ac:dyDescent="0.25">
      <c r="A32" s="5" t="s">
        <v>25</v>
      </c>
      <c r="B32" s="12">
        <v>-1.01</v>
      </c>
      <c r="C32" s="12">
        <v>-1.48</v>
      </c>
      <c r="D32" s="12">
        <v>-1.21</v>
      </c>
      <c r="E32" s="12">
        <f>E28/E34</f>
        <v>-1.104570539125513</v>
      </c>
    </row>
    <row r="33" spans="1:6" ht="19" x14ac:dyDescent="0.25">
      <c r="A33" s="5" t="s">
        <v>26</v>
      </c>
      <c r="B33" s="1">
        <v>129894000</v>
      </c>
      <c r="C33" s="1">
        <v>129894000</v>
      </c>
      <c r="D33" s="1">
        <v>129894000</v>
      </c>
      <c r="E33" s="1">
        <v>148407000</v>
      </c>
      <c r="F33" s="1" cm="1">
        <f t="array" ref="F33">_FV(A1,"Shares outstanding",TRUE)</f>
        <v>154700000</v>
      </c>
    </row>
    <row r="34" spans="1:6" ht="19" x14ac:dyDescent="0.25">
      <c r="A34" s="5" t="s">
        <v>27</v>
      </c>
      <c r="B34" s="1">
        <v>129894000</v>
      </c>
      <c r="C34" s="1">
        <v>129894000</v>
      </c>
      <c r="D34" s="1">
        <v>129894000</v>
      </c>
      <c r="E34" s="1">
        <v>148407000</v>
      </c>
      <c r="F34" s="1" cm="1">
        <f t="array" ref="F34">_FV(A1,"Shares outstanding",TRUE)</f>
        <v>154700000</v>
      </c>
    </row>
    <row r="35" spans="1:6" ht="20" customHeight="1" x14ac:dyDescent="0.25">
      <c r="A35" s="24" t="s">
        <v>118</v>
      </c>
      <c r="B35" s="26">
        <v>0</v>
      </c>
      <c r="C35" s="26">
        <f>(C34-B34)/B34</f>
        <v>0</v>
      </c>
      <c r="D35" s="26">
        <f t="shared" ref="D35:F35" si="7">(D34-C34)/C34</f>
        <v>0</v>
      </c>
      <c r="E35" s="26">
        <f t="shared" si="7"/>
        <v>0.14252390410642524</v>
      </c>
      <c r="F35" s="26">
        <f t="shared" si="7"/>
        <v>4.2403660204707323E-2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v>343327000</v>
      </c>
      <c r="C38" s="1">
        <v>282850000</v>
      </c>
      <c r="D38" s="1">
        <v>884672000</v>
      </c>
      <c r="E38" s="1">
        <v>295402000</v>
      </c>
    </row>
    <row r="39" spans="1:6" ht="19" x14ac:dyDescent="0.25">
      <c r="A39" s="5" t="s">
        <v>31</v>
      </c>
      <c r="B39" s="1" t="s">
        <v>91</v>
      </c>
      <c r="C39" s="1" t="s">
        <v>91</v>
      </c>
      <c r="D39" s="1">
        <v>50031000</v>
      </c>
      <c r="E39" s="1">
        <v>641249000</v>
      </c>
    </row>
    <row r="40" spans="1:6" ht="19" x14ac:dyDescent="0.25">
      <c r="A40" s="5" t="s">
        <v>32</v>
      </c>
      <c r="B40" s="1">
        <v>343327000</v>
      </c>
      <c r="C40" s="1">
        <v>282850000</v>
      </c>
      <c r="D40" s="1">
        <v>934703000</v>
      </c>
      <c r="E40" s="1">
        <f>+E38+E39</f>
        <v>936651000</v>
      </c>
    </row>
    <row r="41" spans="1:6" ht="19" x14ac:dyDescent="0.25">
      <c r="A41" s="5" t="s">
        <v>33</v>
      </c>
      <c r="B41" s="1">
        <v>25303000</v>
      </c>
      <c r="C41" s="1">
        <v>39672000</v>
      </c>
      <c r="D41" s="1">
        <v>77233000</v>
      </c>
      <c r="E41" s="1">
        <v>130479000</v>
      </c>
    </row>
    <row r="42" spans="1:6" ht="19" x14ac:dyDescent="0.25">
      <c r="A42" s="5" t="s">
        <v>34</v>
      </c>
      <c r="B42" s="1" t="s">
        <v>91</v>
      </c>
      <c r="C42" s="1" t="s">
        <v>91</v>
      </c>
      <c r="D42" s="1" t="s">
        <v>91</v>
      </c>
      <c r="E42" s="1" t="s">
        <v>91</v>
      </c>
    </row>
    <row r="43" spans="1:6" ht="19" x14ac:dyDescent="0.25">
      <c r="A43" s="5" t="s">
        <v>35</v>
      </c>
      <c r="B43" s="1">
        <v>15845000</v>
      </c>
      <c r="C43" s="1">
        <v>25971000</v>
      </c>
      <c r="D43" s="1">
        <v>39907000</v>
      </c>
      <c r="E43" s="1">
        <v>50832000</v>
      </c>
    </row>
    <row r="44" spans="1:6" ht="19" x14ac:dyDescent="0.25">
      <c r="A44" s="6" t="s">
        <v>36</v>
      </c>
      <c r="B44" s="10">
        <v>384475000</v>
      </c>
      <c r="C44" s="10">
        <v>348493000</v>
      </c>
      <c r="D44" s="10">
        <v>1051843000</v>
      </c>
      <c r="E44" s="10">
        <v>1117962000</v>
      </c>
    </row>
    <row r="45" spans="1:6" ht="19" x14ac:dyDescent="0.25">
      <c r="A45" s="5" t="s">
        <v>37</v>
      </c>
      <c r="B45" s="1" t="s">
        <v>91</v>
      </c>
      <c r="C45" s="1" t="s">
        <v>91</v>
      </c>
      <c r="D45" s="1">
        <v>3271000</v>
      </c>
      <c r="E45" s="1">
        <v>5797000</v>
      </c>
    </row>
    <row r="46" spans="1:6" ht="19" x14ac:dyDescent="0.25">
      <c r="A46" s="5" t="s">
        <v>38</v>
      </c>
      <c r="B46" s="1" t="s">
        <v>91</v>
      </c>
      <c r="C46" s="1" t="s">
        <v>91</v>
      </c>
      <c r="D46" s="1">
        <v>8145000</v>
      </c>
      <c r="E46" s="1">
        <v>8145000</v>
      </c>
    </row>
    <row r="47" spans="1:6" ht="19" x14ac:dyDescent="0.25">
      <c r="A47" s="5" t="s">
        <v>39</v>
      </c>
      <c r="B47" s="1" t="s">
        <v>91</v>
      </c>
      <c r="C47" s="1" t="s">
        <v>91</v>
      </c>
      <c r="D47" s="1">
        <v>6285000</v>
      </c>
      <c r="E47" s="1">
        <v>3901000</v>
      </c>
    </row>
    <row r="48" spans="1:6"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119</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row>
    <row r="84" spans="1:13" ht="19" customHeight="1" x14ac:dyDescent="0.25">
      <c r="A84" s="5" t="s">
        <v>47</v>
      </c>
      <c r="B84" s="1">
        <v>914000</v>
      </c>
      <c r="C84" s="1">
        <v>1474000</v>
      </c>
      <c r="D84" s="1">
        <v>1877000</v>
      </c>
      <c r="E84" s="1">
        <v>5184000</v>
      </c>
      <c r="F84" s="43"/>
      <c r="G84" s="43"/>
      <c r="H84" s="43"/>
      <c r="I84" s="43"/>
      <c r="J84" s="43"/>
      <c r="K84" s="43"/>
      <c r="L84" s="76" t="s">
        <v>121</v>
      </c>
      <c r="M84" s="77"/>
    </row>
    <row r="85" spans="1:13" ht="20" customHeight="1" x14ac:dyDescent="0.25">
      <c r="A85" s="5" t="s">
        <v>71</v>
      </c>
      <c r="B85" s="1">
        <v>32518000</v>
      </c>
      <c r="C85" s="1">
        <v>22891000</v>
      </c>
      <c r="D85" s="1">
        <v>56254000</v>
      </c>
      <c r="E85" s="1"/>
      <c r="F85" s="43"/>
      <c r="G85" s="43"/>
      <c r="H85" s="43"/>
      <c r="I85" s="43"/>
      <c r="J85" s="43"/>
      <c r="K85" s="43"/>
      <c r="L85" s="78" t="s">
        <v>122</v>
      </c>
      <c r="M85" s="78"/>
    </row>
    <row r="86" spans="1:13" ht="20" x14ac:dyDescent="0.25">
      <c r="A86" s="5" t="s">
        <v>72</v>
      </c>
      <c r="B86" s="1">
        <v>12339000</v>
      </c>
      <c r="C86" s="1">
        <v>-5395000</v>
      </c>
      <c r="D86" s="1">
        <v>51532000</v>
      </c>
      <c r="E86" s="1">
        <v>-594000</v>
      </c>
      <c r="F86" s="43"/>
      <c r="G86" s="43"/>
      <c r="H86" s="43"/>
      <c r="I86" s="43"/>
      <c r="J86" s="43"/>
      <c r="K86" s="43"/>
      <c r="L86" s="37" t="s">
        <v>123</v>
      </c>
      <c r="M86" s="44">
        <f>E17</f>
        <v>14496000</v>
      </c>
    </row>
    <row r="87" spans="1:13" ht="20" x14ac:dyDescent="0.25">
      <c r="A87" s="6" t="s">
        <v>73</v>
      </c>
      <c r="B87" s="10">
        <v>-60166000</v>
      </c>
      <c r="C87" s="10">
        <v>-73580000</v>
      </c>
      <c r="D87" s="10">
        <v>-49814000</v>
      </c>
      <c r="E87" s="10">
        <v>-77408000</v>
      </c>
      <c r="F87" s="43"/>
      <c r="G87" s="43"/>
      <c r="H87" s="43"/>
      <c r="I87" s="43"/>
      <c r="J87" s="43"/>
      <c r="K87" s="43"/>
      <c r="L87" s="37" t="s">
        <v>124</v>
      </c>
      <c r="M87" s="44">
        <f>E56</f>
        <v>0</v>
      </c>
    </row>
    <row r="88" spans="1:13" ht="20" x14ac:dyDescent="0.25">
      <c r="A88" s="5" t="s">
        <v>74</v>
      </c>
      <c r="B88" s="1">
        <v>0</v>
      </c>
      <c r="C88" s="1">
        <v>0</v>
      </c>
      <c r="D88" s="1">
        <v>-3541000</v>
      </c>
      <c r="E88" s="1">
        <v>-6070000</v>
      </c>
      <c r="F88" s="43"/>
      <c r="G88" s="43"/>
      <c r="H88" s="43"/>
      <c r="I88" s="43"/>
      <c r="J88" s="43"/>
      <c r="K88" s="43"/>
      <c r="L88" s="37" t="s">
        <v>125</v>
      </c>
      <c r="M88" s="44">
        <f>E61</f>
        <v>0</v>
      </c>
    </row>
    <row r="89" spans="1:13" ht="20" customHeight="1" x14ac:dyDescent="0.25">
      <c r="A89" s="24" t="s">
        <v>120</v>
      </c>
      <c r="B89" s="21">
        <f t="shared" ref="B89:E89" si="9">(-1*B88)/B3</f>
        <v>0</v>
      </c>
      <c r="C89" s="21">
        <f t="shared" si="9"/>
        <v>0</v>
      </c>
      <c r="D89" s="21">
        <f t="shared" si="9"/>
        <v>1.4015269955235046E-2</v>
      </c>
      <c r="E89" s="21">
        <f t="shared" si="9"/>
        <v>1.4305915625736507E-2</v>
      </c>
      <c r="F89" s="43"/>
      <c r="G89" s="43"/>
      <c r="H89" s="43"/>
      <c r="I89" s="43"/>
      <c r="J89" s="43"/>
      <c r="K89" s="43"/>
      <c r="L89" s="38" t="s">
        <v>126</v>
      </c>
      <c r="M89" s="45">
        <v>0</v>
      </c>
    </row>
    <row r="90" spans="1:13" ht="20" x14ac:dyDescent="0.25">
      <c r="A90" s="5" t="s">
        <v>75</v>
      </c>
      <c r="B90" s="1" t="s">
        <v>91</v>
      </c>
      <c r="C90" s="1" t="s">
        <v>91</v>
      </c>
      <c r="D90" s="1">
        <v>-323000</v>
      </c>
      <c r="E90" s="1">
        <v>0</v>
      </c>
      <c r="F90" s="46"/>
      <c r="G90" s="46"/>
      <c r="H90" s="43"/>
      <c r="I90" s="43"/>
      <c r="J90" s="43"/>
      <c r="K90" s="43"/>
      <c r="L90" s="37" t="s">
        <v>127</v>
      </c>
      <c r="M90" s="44">
        <f>E27</f>
        <v>2898000</v>
      </c>
    </row>
    <row r="91" spans="1:13" ht="19" customHeight="1" x14ac:dyDescent="0.25">
      <c r="A91" s="5" t="s">
        <v>76</v>
      </c>
      <c r="B91" s="1" t="s">
        <v>91</v>
      </c>
      <c r="C91" s="1" t="s">
        <v>91</v>
      </c>
      <c r="D91" s="1">
        <v>-100031000</v>
      </c>
      <c r="E91" s="1">
        <v>-821622000</v>
      </c>
      <c r="F91" s="43"/>
      <c r="G91" s="43"/>
      <c r="H91" s="43"/>
      <c r="I91" s="43"/>
      <c r="J91" s="43"/>
      <c r="K91" s="43"/>
      <c r="L91" s="37" t="s">
        <v>19</v>
      </c>
      <c r="M91" s="44">
        <f>E25</f>
        <v>-177798000</v>
      </c>
    </row>
    <row r="92" spans="1:13" ht="19" customHeight="1" x14ac:dyDescent="0.25">
      <c r="A92" s="5" t="s">
        <v>77</v>
      </c>
      <c r="B92" s="1" t="s">
        <v>91</v>
      </c>
      <c r="C92" s="1" t="s">
        <v>91</v>
      </c>
      <c r="D92" s="1">
        <v>50000000</v>
      </c>
      <c r="E92" s="1">
        <v>231626000</v>
      </c>
      <c r="F92" s="43"/>
      <c r="G92" s="43"/>
      <c r="H92" s="43"/>
      <c r="I92" s="43"/>
      <c r="J92" s="43"/>
      <c r="K92" s="43"/>
      <c r="L92" s="38" t="s">
        <v>128</v>
      </c>
      <c r="M92" s="45">
        <f>M90/M91</f>
        <v>-1.6299395943711402E-2</v>
      </c>
    </row>
    <row r="93" spans="1:13" ht="19" customHeight="1" x14ac:dyDescent="0.25">
      <c r="A93" s="5" t="s">
        <v>78</v>
      </c>
      <c r="B93" s="1" t="s">
        <v>91</v>
      </c>
      <c r="C93" s="1">
        <v>-842000</v>
      </c>
      <c r="D93" s="1" t="s">
        <v>91</v>
      </c>
      <c r="E93" s="1">
        <v>-9620000</v>
      </c>
      <c r="F93" s="43"/>
      <c r="G93" s="43"/>
      <c r="H93" s="43"/>
      <c r="I93" s="43"/>
      <c r="J93" s="43"/>
      <c r="K93" s="43"/>
      <c r="L93" s="38" t="s">
        <v>129</v>
      </c>
      <c r="M93" s="45">
        <f>M89*(1-M92)</f>
        <v>0</v>
      </c>
    </row>
    <row r="94" spans="1:13" ht="20" customHeight="1" x14ac:dyDescent="0.25">
      <c r="A94" s="6" t="s">
        <v>79</v>
      </c>
      <c r="B94" s="10" t="s">
        <v>91</v>
      </c>
      <c r="C94" s="10">
        <v>-842000</v>
      </c>
      <c r="D94" s="10">
        <v>-53895000</v>
      </c>
      <c r="E94" s="10">
        <v>-605686000</v>
      </c>
      <c r="F94" s="43"/>
      <c r="G94" s="43"/>
      <c r="H94" s="43"/>
      <c r="I94" s="43"/>
      <c r="J94" s="43"/>
      <c r="K94" s="43"/>
      <c r="L94" s="78" t="s">
        <v>130</v>
      </c>
      <c r="M94" s="78"/>
    </row>
    <row r="95" spans="1:13" ht="20" x14ac:dyDescent="0.25">
      <c r="A95" s="5" t="s">
        <v>80</v>
      </c>
      <c r="B95" s="1" t="s">
        <v>91</v>
      </c>
      <c r="C95" s="1" t="s">
        <v>91</v>
      </c>
      <c r="D95" s="1" t="s">
        <v>91</v>
      </c>
      <c r="E95" s="1" t="s">
        <v>91</v>
      </c>
      <c r="F95" s="43"/>
      <c r="G95" s="43"/>
      <c r="H95" s="43"/>
      <c r="I95" s="43"/>
      <c r="J95" s="43"/>
      <c r="K95" s="43"/>
      <c r="L95" s="37" t="s">
        <v>131</v>
      </c>
      <c r="M95" s="71">
        <f>'[1]US Treasury Bonds'!$C$8</f>
        <v>4.845E-2</v>
      </c>
    </row>
    <row r="96" spans="1:13" ht="19" customHeight="1" x14ac:dyDescent="0.25">
      <c r="A96" s="5" t="s">
        <v>81</v>
      </c>
      <c r="B96" s="1" t="s">
        <v>91</v>
      </c>
      <c r="C96" s="1" t="s">
        <v>91</v>
      </c>
      <c r="D96" s="1">
        <v>654552000</v>
      </c>
      <c r="E96" s="1">
        <v>38983000</v>
      </c>
      <c r="F96" s="43"/>
      <c r="G96" s="43"/>
      <c r="H96" s="43"/>
      <c r="I96" s="43"/>
      <c r="J96" s="43"/>
      <c r="K96" s="43"/>
      <c r="L96" s="37" t="s">
        <v>132</v>
      </c>
      <c r="M96" s="48" cm="1">
        <f t="array" ref="M96">_FV(A1,"Beta")</f>
        <v>2.5139999999999998</v>
      </c>
    </row>
    <row r="97" spans="1:13" ht="19" customHeight="1" x14ac:dyDescent="0.25">
      <c r="A97" s="5" t="s">
        <v>82</v>
      </c>
      <c r="B97" s="1" t="s">
        <v>91</v>
      </c>
      <c r="C97" s="1">
        <v>-820000</v>
      </c>
      <c r="D97" s="1">
        <v>-590000</v>
      </c>
      <c r="E97" s="1">
        <v>0</v>
      </c>
      <c r="F97" s="43"/>
      <c r="G97" s="43"/>
      <c r="H97" s="43"/>
      <c r="I97" s="43"/>
      <c r="J97" s="43"/>
      <c r="K97" s="43"/>
      <c r="L97" s="37" t="s">
        <v>133</v>
      </c>
      <c r="M97" s="47">
        <v>8.4000000000000005E-2</v>
      </c>
    </row>
    <row r="98" spans="1:13" ht="19" customHeight="1" x14ac:dyDescent="0.25">
      <c r="A98" s="5" t="s">
        <v>83</v>
      </c>
      <c r="B98" s="1" t="s">
        <v>91</v>
      </c>
      <c r="C98" s="1" t="s">
        <v>91</v>
      </c>
      <c r="D98" s="1" t="s">
        <v>91</v>
      </c>
      <c r="E98" s="1">
        <v>0</v>
      </c>
      <c r="F98" s="43"/>
      <c r="G98" s="43"/>
      <c r="H98" s="43"/>
      <c r="I98" s="43"/>
      <c r="J98" s="43"/>
      <c r="K98" s="43"/>
      <c r="L98" s="38" t="s">
        <v>134</v>
      </c>
      <c r="M98" s="45">
        <f>(M95)+((M96)*(M97-M95))</f>
        <v>0.13782269999999999</v>
      </c>
    </row>
    <row r="99" spans="1:13" ht="19" customHeight="1" x14ac:dyDescent="0.25">
      <c r="A99" s="5" t="s">
        <v>84</v>
      </c>
      <c r="B99" s="1">
        <v>271265000</v>
      </c>
      <c r="C99" s="1">
        <v>13765000</v>
      </c>
      <c r="D99" s="1">
        <v>47223000</v>
      </c>
      <c r="E99" s="1">
        <v>64863000</v>
      </c>
      <c r="F99" s="43"/>
      <c r="G99" s="43"/>
      <c r="H99" s="43"/>
      <c r="I99" s="43"/>
      <c r="J99" s="43"/>
      <c r="K99" s="43"/>
      <c r="L99" s="78" t="s">
        <v>135</v>
      </c>
      <c r="M99" s="78"/>
    </row>
    <row r="100" spans="1:13" ht="20" x14ac:dyDescent="0.25">
      <c r="A100" s="6" t="s">
        <v>85</v>
      </c>
      <c r="B100" s="10">
        <v>271265000</v>
      </c>
      <c r="C100" s="10">
        <v>12945000</v>
      </c>
      <c r="D100" s="10">
        <v>701185000</v>
      </c>
      <c r="E100" s="10">
        <v>97482000</v>
      </c>
      <c r="F100" s="43"/>
      <c r="G100" s="43"/>
      <c r="H100" s="43"/>
      <c r="I100" s="43"/>
      <c r="J100" s="43"/>
      <c r="K100" s="43"/>
      <c r="L100" s="37" t="s">
        <v>136</v>
      </c>
      <c r="M100" s="44">
        <f>M87+M88</f>
        <v>0</v>
      </c>
    </row>
    <row r="101" spans="1:13" ht="20" x14ac:dyDescent="0.25">
      <c r="A101" s="5" t="s">
        <v>86</v>
      </c>
      <c r="B101" s="1">
        <v>-226000</v>
      </c>
      <c r="C101" s="1">
        <v>1000000</v>
      </c>
      <c r="D101" s="1">
        <v>6846000</v>
      </c>
      <c r="E101" s="1">
        <v>-3658000</v>
      </c>
      <c r="F101" s="43"/>
      <c r="G101" s="43"/>
      <c r="H101" s="43"/>
      <c r="I101" s="43"/>
      <c r="J101" s="43"/>
      <c r="K101" s="43"/>
      <c r="L101" s="38" t="s">
        <v>137</v>
      </c>
      <c r="M101" s="45">
        <f>M100/M104</f>
        <v>0</v>
      </c>
    </row>
    <row r="102" spans="1:13" ht="19" customHeight="1" x14ac:dyDescent="0.25">
      <c r="A102" s="6" t="s">
        <v>87</v>
      </c>
      <c r="B102" s="10">
        <v>210873000</v>
      </c>
      <c r="C102" s="10">
        <v>-60477000</v>
      </c>
      <c r="D102" s="10">
        <v>604322000</v>
      </c>
      <c r="E102" s="10">
        <v>-589270000</v>
      </c>
      <c r="F102" s="43"/>
      <c r="G102" s="43"/>
      <c r="H102" s="43"/>
      <c r="I102" s="43"/>
      <c r="J102" s="43"/>
      <c r="K102" s="43"/>
      <c r="L102" s="37" t="s">
        <v>138</v>
      </c>
      <c r="M102" s="49" cm="1">
        <f t="array" ref="M102">_FV(A1,"Market cap",TRUE)</f>
        <v>6534528000</v>
      </c>
    </row>
    <row r="103" spans="1:13" ht="19" customHeight="1" x14ac:dyDescent="0.25">
      <c r="A103" s="5" t="s">
        <v>88</v>
      </c>
      <c r="B103" s="1">
        <v>132454000</v>
      </c>
      <c r="C103" s="1">
        <v>343327000</v>
      </c>
      <c r="D103" s="1">
        <v>282850000</v>
      </c>
      <c r="E103" s="1">
        <v>887172000</v>
      </c>
      <c r="F103" s="43"/>
      <c r="G103" s="43"/>
      <c r="H103" s="43"/>
      <c r="I103" s="43"/>
      <c r="J103" s="43"/>
      <c r="K103" s="43"/>
      <c r="L103" s="38" t="s">
        <v>139</v>
      </c>
      <c r="M103" s="45">
        <f>M102/M104</f>
        <v>1</v>
      </c>
    </row>
    <row r="104" spans="1:13" ht="20" customHeight="1" thickBot="1" x14ac:dyDescent="0.3">
      <c r="A104" s="7" t="s">
        <v>89</v>
      </c>
      <c r="B104" s="11">
        <v>343327000</v>
      </c>
      <c r="C104" s="11">
        <v>282850000</v>
      </c>
      <c r="D104" s="11">
        <v>887172000</v>
      </c>
      <c r="E104" s="11">
        <v>297902000</v>
      </c>
      <c r="F104" s="80" t="s">
        <v>100</v>
      </c>
      <c r="G104" s="80"/>
      <c r="H104" s="80"/>
      <c r="I104" s="80"/>
      <c r="J104" s="80"/>
      <c r="K104" s="43"/>
      <c r="L104" s="38" t="s">
        <v>140</v>
      </c>
      <c r="M104" s="50">
        <f>M100+M102</f>
        <v>6534528000</v>
      </c>
    </row>
    <row r="105" spans="1:13" ht="21" customHeight="1" thickTop="1" x14ac:dyDescent="0.25">
      <c r="A105" s="24" t="s">
        <v>157</v>
      </c>
      <c r="B105" s="1">
        <f t="shared" ref="B105:D105" si="10">(B22*(1-0.2))+B77+B88+B81</f>
        <v>-85329600</v>
      </c>
      <c r="C105" s="1">
        <f t="shared" si="10"/>
        <v>-159166200</v>
      </c>
      <c r="D105" s="1">
        <f t="shared" si="10"/>
        <v>-82923600</v>
      </c>
      <c r="E105" s="1">
        <f>(E22*(1-0.2))+E77+E88+E81</f>
        <v>-102072800</v>
      </c>
      <c r="F105" s="72">
        <f>F107/F3</f>
        <v>2.5825493451392734E-2</v>
      </c>
      <c r="G105" s="72">
        <f>G107/G3</f>
        <v>9.6126255380200865E-2</v>
      </c>
      <c r="H105" s="72">
        <f>H107/H3</f>
        <v>0.13958682300390843</v>
      </c>
      <c r="I105" s="72">
        <f>I107/I3</f>
        <v>0.13632958801498127</v>
      </c>
      <c r="J105" s="72">
        <f>J107/J3</f>
        <v>0.27891566265060241</v>
      </c>
      <c r="K105" s="73" t="s">
        <v>165</v>
      </c>
      <c r="L105" s="78" t="s">
        <v>141</v>
      </c>
      <c r="M105" s="78"/>
    </row>
    <row r="106" spans="1:13" ht="20" x14ac:dyDescent="0.25">
      <c r="A106" s="24" t="s">
        <v>158</v>
      </c>
      <c r="B106" s="1"/>
      <c r="C106" s="21">
        <f>(C107/B107)-1</f>
        <v>0.2384569358109232</v>
      </c>
      <c r="D106" s="21">
        <f>(D107/C107)-1</f>
        <v>-0.28395045159904986</v>
      </c>
      <c r="E106" s="21">
        <f>(E107/D107)-1</f>
        <v>0.56457689063817829</v>
      </c>
      <c r="F106" s="52">
        <f>(F107/E107)/4</f>
        <v>-4.1927214355878192E-2</v>
      </c>
      <c r="G106" s="52">
        <f>(G107/F107)-1</f>
        <v>3.7857142857142856</v>
      </c>
      <c r="H106" s="52">
        <f>(H107/G107)-1</f>
        <v>0.86567164179104483</v>
      </c>
      <c r="I106" s="52">
        <f>(I107/H107)-1</f>
        <v>0.45599999999999996</v>
      </c>
      <c r="J106" s="52">
        <f>(J107/I107)-1</f>
        <v>1.5439560439560438</v>
      </c>
      <c r="K106" s="53">
        <f>SUM(F106:J106)/5</f>
        <v>1.3218829514210992</v>
      </c>
      <c r="L106" s="39" t="s">
        <v>142</v>
      </c>
      <c r="M106" s="54">
        <f>(M101*M93)+(M103*M98)</f>
        <v>0.13782269999999999</v>
      </c>
    </row>
    <row r="107" spans="1:13" ht="19" x14ac:dyDescent="0.25">
      <c r="A107" s="34" t="s">
        <v>159</v>
      </c>
      <c r="B107" s="1">
        <v>-60166000</v>
      </c>
      <c r="C107" s="1">
        <v>-74513000</v>
      </c>
      <c r="D107" s="1">
        <f>+D87+D88</f>
        <v>-53355000</v>
      </c>
      <c r="E107" s="1">
        <f>+E87+E88</f>
        <v>-83478000</v>
      </c>
      <c r="F107" s="55">
        <v>14000000</v>
      </c>
      <c r="G107" s="55">
        <v>67000000</v>
      </c>
      <c r="H107" s="55">
        <v>125000000</v>
      </c>
      <c r="I107" s="55">
        <v>182000000</v>
      </c>
      <c r="J107" s="55">
        <v>463000000</v>
      </c>
      <c r="K107" s="51" t="s">
        <v>160</v>
      </c>
      <c r="L107" s="56" t="s">
        <v>143</v>
      </c>
      <c r="M107" s="40">
        <f>(SUM(F4:J4)/5)</f>
        <v>0.31647986321927457</v>
      </c>
    </row>
    <row r="108" spans="1:13" ht="19" x14ac:dyDescent="0.2">
      <c r="F108" s="74"/>
      <c r="G108" s="74"/>
      <c r="H108" s="74"/>
      <c r="I108" s="74"/>
      <c r="J108" s="57">
        <f>J107*(1+M108)/(M109-M108)</f>
        <v>4206378680.8860269</v>
      </c>
      <c r="K108" s="58" t="s">
        <v>144</v>
      </c>
      <c r="L108" s="59" t="s">
        <v>145</v>
      </c>
      <c r="M108" s="41">
        <v>2.5000000000000001E-2</v>
      </c>
    </row>
    <row r="109" spans="1:13" ht="19" x14ac:dyDescent="0.2">
      <c r="F109" s="57">
        <f t="shared" ref="F109:I109" si="11">F108+F107</f>
        <v>14000000</v>
      </c>
      <c r="G109" s="57">
        <f t="shared" si="11"/>
        <v>67000000</v>
      </c>
      <c r="H109" s="57">
        <f t="shared" si="11"/>
        <v>125000000</v>
      </c>
      <c r="I109" s="57">
        <f t="shared" si="11"/>
        <v>182000000</v>
      </c>
      <c r="J109" s="57">
        <f>J108+J107</f>
        <v>4669378680.8860264</v>
      </c>
      <c r="K109" s="58" t="s">
        <v>140</v>
      </c>
      <c r="L109" s="60" t="s">
        <v>146</v>
      </c>
      <c r="M109" s="40">
        <f>M106</f>
        <v>0.13782269999999999</v>
      </c>
    </row>
    <row r="110" spans="1:13" ht="19" x14ac:dyDescent="0.2">
      <c r="F110" s="79" t="s">
        <v>147</v>
      </c>
      <c r="G110" s="79"/>
      <c r="H110" s="43"/>
      <c r="I110" s="43"/>
      <c r="J110" s="43"/>
      <c r="K110" s="43"/>
      <c r="L110" s="43"/>
      <c r="M110" s="43"/>
    </row>
    <row r="111" spans="1:13" ht="20" x14ac:dyDescent="0.2">
      <c r="F111" s="61" t="s">
        <v>148</v>
      </c>
      <c r="G111" s="49">
        <f>NPV(M109,F109,G109,H109,I109,J109)</f>
        <v>2705919707.6690207</v>
      </c>
      <c r="H111" s="43"/>
      <c r="I111" s="43"/>
      <c r="J111" s="43"/>
      <c r="K111" s="43"/>
      <c r="L111" s="43"/>
      <c r="M111" s="43"/>
    </row>
    <row r="112" spans="1:13" ht="20" x14ac:dyDescent="0.2">
      <c r="F112" s="61" t="s">
        <v>149</v>
      </c>
      <c r="G112" s="49">
        <f>E40</f>
        <v>936651000</v>
      </c>
      <c r="H112" s="43"/>
      <c r="I112" s="43"/>
      <c r="J112" s="43"/>
      <c r="K112" s="43"/>
      <c r="L112" s="43"/>
      <c r="M112" s="43"/>
    </row>
    <row r="113" spans="6:13" ht="20" x14ac:dyDescent="0.2">
      <c r="F113" s="61" t="s">
        <v>136</v>
      </c>
      <c r="G113" s="49">
        <f>M100</f>
        <v>0</v>
      </c>
      <c r="H113" s="43"/>
      <c r="I113" s="43"/>
      <c r="J113" s="43"/>
      <c r="K113" s="43"/>
      <c r="L113" s="43"/>
      <c r="M113" s="43"/>
    </row>
    <row r="114" spans="6:13" ht="20" x14ac:dyDescent="0.2">
      <c r="F114" s="61" t="s">
        <v>150</v>
      </c>
      <c r="G114" s="49">
        <f>G111+G112-G113</f>
        <v>3642570707.6690207</v>
      </c>
      <c r="H114" s="43"/>
      <c r="I114" s="43"/>
      <c r="J114" s="43"/>
      <c r="K114" s="43"/>
      <c r="L114" s="43"/>
      <c r="M114" s="43"/>
    </row>
    <row r="115" spans="6:13" ht="20" x14ac:dyDescent="0.2">
      <c r="F115" s="61" t="s">
        <v>161</v>
      </c>
      <c r="G115" s="61">
        <f>E34*(1+(K16*5))</f>
        <v>175851545.03672224</v>
      </c>
      <c r="H115" s="43"/>
      <c r="I115" s="43"/>
      <c r="J115" s="43"/>
      <c r="K115" s="43"/>
      <c r="L115" s="43"/>
      <c r="M115" s="43"/>
    </row>
    <row r="116" spans="6:13" ht="20" x14ac:dyDescent="0.2">
      <c r="F116" s="62" t="s">
        <v>151</v>
      </c>
      <c r="G116" s="63">
        <f>G114/G115</f>
        <v>20.713896525096551</v>
      </c>
      <c r="H116" s="43"/>
      <c r="I116" s="43"/>
      <c r="J116" s="43"/>
      <c r="K116" s="43"/>
      <c r="L116" s="43"/>
      <c r="M116" s="43"/>
    </row>
    <row r="117" spans="6:13" ht="20" x14ac:dyDescent="0.2">
      <c r="F117" s="61" t="s">
        <v>152</v>
      </c>
      <c r="G117" s="64" cm="1">
        <f t="array" ref="G117">_FV(A1,"Price")</f>
        <v>42.24</v>
      </c>
      <c r="H117" s="43"/>
      <c r="I117" s="43"/>
      <c r="J117" s="43"/>
      <c r="K117" s="43"/>
      <c r="L117" s="43"/>
      <c r="M117" s="43"/>
    </row>
    <row r="118" spans="6:13" ht="20" x14ac:dyDescent="0.2">
      <c r="F118" s="62" t="s">
        <v>153</v>
      </c>
      <c r="G118" s="65">
        <f>G116/G117-1</f>
        <v>-0.50961419211419146</v>
      </c>
      <c r="H118" s="43"/>
      <c r="I118" s="43"/>
      <c r="J118" s="43"/>
      <c r="K118" s="43"/>
      <c r="L118" s="43"/>
      <c r="M118" s="43"/>
    </row>
    <row r="119" spans="6:13" ht="20" x14ac:dyDescent="0.2">
      <c r="F119" s="62" t="s">
        <v>154</v>
      </c>
      <c r="G119" s="66" t="str">
        <f>IF(G116&gt;G117,"BUY","SELL")</f>
        <v>SELL</v>
      </c>
      <c r="H119" s="43"/>
      <c r="I119" s="43"/>
      <c r="J119" s="43"/>
      <c r="K119" s="43"/>
      <c r="L119" s="43"/>
      <c r="M119" s="43"/>
    </row>
  </sheetData>
  <mergeCells count="7">
    <mergeCell ref="L84:M84"/>
    <mergeCell ref="L85:M85"/>
    <mergeCell ref="F110:G110"/>
    <mergeCell ref="F104:J104"/>
    <mergeCell ref="L105:M105"/>
    <mergeCell ref="L99:M99"/>
    <mergeCell ref="L94:M9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7"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2023-01-13T19:35:32Z</dcterms:created>
  <dcterms:modified xsi:type="dcterms:W3CDTF">2023-10-30T07:00:03Z</dcterms:modified>
</cp:coreProperties>
</file>