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2588B721-5C53-3B4F-B8B6-A7708464C5BF}"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09" i="1" l="1"/>
  <c r="X109" i="1"/>
  <c r="Y109" i="1"/>
  <c r="Z109" i="1"/>
  <c r="AE7" i="1"/>
  <c r="AD95" i="1"/>
  <c r="AD7" i="1"/>
  <c r="AC7" i="1"/>
  <c r="AB7" i="1"/>
  <c r="W34" i="1" a="1"/>
  <c r="W34" i="1" s="1"/>
  <c r="W35" i="1" s="1"/>
  <c r="W33" i="1" a="1"/>
  <c r="W33" i="1" s="1"/>
  <c r="AC22" i="1"/>
  <c r="AA106" i="1"/>
  <c r="Z106" i="1"/>
  <c r="Y106" i="1"/>
  <c r="X106" i="1"/>
  <c r="W106" i="1"/>
  <c r="B105" i="1"/>
  <c r="AB106" i="1" l="1"/>
  <c r="W29" i="1"/>
  <c r="X29" i="1"/>
  <c r="Y29" i="1"/>
  <c r="Z29" i="1"/>
  <c r="AA29" i="1"/>
  <c r="W30" i="1"/>
  <c r="X30" i="1"/>
  <c r="Y30" i="1"/>
  <c r="Z30" i="1"/>
  <c r="AA30" i="1"/>
  <c r="W20" i="1"/>
  <c r="X20" i="1"/>
  <c r="Y20" i="1"/>
  <c r="Z20" i="1"/>
  <c r="AA20" i="1"/>
  <c r="W21" i="1"/>
  <c r="X21" i="1"/>
  <c r="Y21" i="1"/>
  <c r="Z21" i="1"/>
  <c r="AA21" i="1"/>
  <c r="V30" i="1"/>
  <c r="V23" i="1"/>
  <c r="V21" i="1"/>
  <c r="V7" i="1"/>
  <c r="X117" i="1" a="1"/>
  <c r="X117" i="1" s="1"/>
  <c r="AD102" i="1" a="1"/>
  <c r="AD102" i="1" s="1"/>
  <c r="AE22" i="1" s="1"/>
  <c r="AD96" i="1" a="1"/>
  <c r="AD96" i="1" s="1"/>
  <c r="AD87" i="1"/>
  <c r="AD88" i="1"/>
  <c r="AD100" i="1"/>
  <c r="X113" i="1" s="1"/>
  <c r="AD86" i="1"/>
  <c r="AD89" i="1"/>
  <c r="AD93" i="1" s="1"/>
  <c r="AD90" i="1"/>
  <c r="AD91" i="1"/>
  <c r="AD92" i="1"/>
  <c r="X112" i="1"/>
  <c r="AB16" i="1"/>
  <c r="X115" i="1"/>
  <c r="W4" i="1"/>
  <c r="X4" i="1"/>
  <c r="Y4" i="1"/>
  <c r="Z4" i="1"/>
  <c r="AA4" i="1"/>
  <c r="AB19" i="1"/>
  <c r="AE13" i="1"/>
  <c r="AD13" i="1"/>
  <c r="AC13" i="1"/>
  <c r="AB13" i="1"/>
  <c r="AD10" i="1"/>
  <c r="AC10" i="1"/>
  <c r="AD4" i="1"/>
  <c r="AC4" i="1"/>
  <c r="AB4" i="1"/>
  <c r="V106" i="1"/>
  <c r="AE4" i="1" s="1"/>
  <c r="U106" i="1"/>
  <c r="T106" i="1"/>
  <c r="S106" i="1"/>
  <c r="R106" i="1"/>
  <c r="Q106" i="1"/>
  <c r="P106" i="1"/>
  <c r="O106" i="1"/>
  <c r="N106" i="1"/>
  <c r="M106" i="1"/>
  <c r="L106" i="1"/>
  <c r="K106" i="1"/>
  <c r="J106" i="1"/>
  <c r="I106" i="1"/>
  <c r="H106" i="1"/>
  <c r="G106" i="1"/>
  <c r="F106" i="1"/>
  <c r="E106" i="1"/>
  <c r="D106" i="1"/>
  <c r="C106" i="1"/>
  <c r="V89" i="1"/>
  <c r="AE10" i="1" s="1"/>
  <c r="U89" i="1"/>
  <c r="T89" i="1"/>
  <c r="S89" i="1"/>
  <c r="R89" i="1"/>
  <c r="Q89" i="1"/>
  <c r="P89" i="1"/>
  <c r="O89" i="1"/>
  <c r="N89" i="1"/>
  <c r="M89" i="1"/>
  <c r="L89" i="1"/>
  <c r="K89" i="1"/>
  <c r="J89" i="1"/>
  <c r="I89" i="1"/>
  <c r="H89" i="1"/>
  <c r="G89" i="1"/>
  <c r="F89" i="1"/>
  <c r="E89" i="1"/>
  <c r="D89" i="1"/>
  <c r="C89" i="1"/>
  <c r="B89" i="1"/>
  <c r="V80" i="1"/>
  <c r="U80" i="1"/>
  <c r="T80" i="1"/>
  <c r="S80" i="1"/>
  <c r="R80" i="1"/>
  <c r="Q80" i="1"/>
  <c r="P80" i="1"/>
  <c r="O80" i="1"/>
  <c r="N80" i="1"/>
  <c r="M80" i="1"/>
  <c r="L80" i="1"/>
  <c r="K80" i="1"/>
  <c r="J80" i="1"/>
  <c r="I80" i="1"/>
  <c r="H80" i="1"/>
  <c r="G80" i="1"/>
  <c r="F80" i="1"/>
  <c r="E80" i="1"/>
  <c r="D80" i="1"/>
  <c r="C80" i="1"/>
  <c r="B80" i="1"/>
  <c r="V35" i="1"/>
  <c r="U35" i="1"/>
  <c r="T35" i="1"/>
  <c r="S35" i="1"/>
  <c r="R35" i="1"/>
  <c r="Q35" i="1"/>
  <c r="P35" i="1"/>
  <c r="O35" i="1"/>
  <c r="N35" i="1"/>
  <c r="M35" i="1"/>
  <c r="L35" i="1"/>
  <c r="K35" i="1"/>
  <c r="J35" i="1"/>
  <c r="I35" i="1"/>
  <c r="H35" i="1"/>
  <c r="G35" i="1"/>
  <c r="F35" i="1"/>
  <c r="E35" i="1"/>
  <c r="D35" i="1"/>
  <c r="C35" i="1"/>
  <c r="V29" i="1"/>
  <c r="U29" i="1"/>
  <c r="T29" i="1"/>
  <c r="S29" i="1"/>
  <c r="R29" i="1"/>
  <c r="Q29" i="1"/>
  <c r="P29" i="1"/>
  <c r="O29" i="1"/>
  <c r="N29" i="1"/>
  <c r="M29" i="1"/>
  <c r="L29" i="1"/>
  <c r="K29" i="1"/>
  <c r="J29" i="1"/>
  <c r="I29" i="1"/>
  <c r="H29" i="1"/>
  <c r="G29" i="1"/>
  <c r="F29" i="1"/>
  <c r="E29" i="1"/>
  <c r="D29" i="1"/>
  <c r="C29" i="1"/>
  <c r="V20" i="1"/>
  <c r="U20" i="1"/>
  <c r="T20" i="1"/>
  <c r="S20" i="1"/>
  <c r="R20" i="1"/>
  <c r="Q20" i="1"/>
  <c r="P20" i="1"/>
  <c r="O20" i="1"/>
  <c r="N20" i="1"/>
  <c r="M20" i="1"/>
  <c r="L20" i="1"/>
  <c r="K20" i="1"/>
  <c r="J20" i="1"/>
  <c r="I20" i="1"/>
  <c r="H20" i="1"/>
  <c r="G20" i="1"/>
  <c r="F20" i="1"/>
  <c r="E20" i="1"/>
  <c r="D20" i="1"/>
  <c r="C20" i="1"/>
  <c r="V13" i="1"/>
  <c r="U13" i="1"/>
  <c r="T13" i="1"/>
  <c r="S13" i="1"/>
  <c r="R13" i="1"/>
  <c r="Q13" i="1"/>
  <c r="P13" i="1"/>
  <c r="O13" i="1"/>
  <c r="N13" i="1"/>
  <c r="M13" i="1"/>
  <c r="L13" i="1"/>
  <c r="K13" i="1"/>
  <c r="J13" i="1"/>
  <c r="I13" i="1"/>
  <c r="H13" i="1"/>
  <c r="G13" i="1"/>
  <c r="F13" i="1"/>
  <c r="E13" i="1"/>
  <c r="D13" i="1"/>
  <c r="C13" i="1"/>
  <c r="B13" i="1"/>
  <c r="V9" i="1"/>
  <c r="AB10" i="1" s="1"/>
  <c r="U9" i="1"/>
  <c r="T9" i="1"/>
  <c r="S9" i="1"/>
  <c r="R9" i="1"/>
  <c r="Q9" i="1"/>
  <c r="P9" i="1"/>
  <c r="O9" i="1"/>
  <c r="N9" i="1"/>
  <c r="M9" i="1"/>
  <c r="L9" i="1"/>
  <c r="K9" i="1"/>
  <c r="J9" i="1"/>
  <c r="I9" i="1"/>
  <c r="H9" i="1"/>
  <c r="G9" i="1"/>
  <c r="F9" i="1"/>
  <c r="E9" i="1"/>
  <c r="D9" i="1"/>
  <c r="C9" i="1"/>
  <c r="B9" i="1"/>
  <c r="V4" i="1"/>
  <c r="U4" i="1"/>
  <c r="T4" i="1"/>
  <c r="S4" i="1"/>
  <c r="R4" i="1"/>
  <c r="Q4" i="1"/>
  <c r="P4" i="1"/>
  <c r="O4" i="1"/>
  <c r="N4" i="1"/>
  <c r="M4" i="1"/>
  <c r="L4" i="1"/>
  <c r="K4" i="1"/>
  <c r="J4" i="1"/>
  <c r="I4" i="1"/>
  <c r="H4" i="1"/>
  <c r="G4" i="1"/>
  <c r="F4" i="1"/>
  <c r="E4" i="1"/>
  <c r="D4" i="1"/>
  <c r="C4" i="1"/>
  <c r="C105" i="1" l="1"/>
  <c r="K105" i="1"/>
  <c r="S105" i="1"/>
  <c r="D105" i="1"/>
  <c r="L105" i="1"/>
  <c r="T105" i="1"/>
  <c r="E105" i="1"/>
  <c r="M105" i="1"/>
  <c r="U105" i="1"/>
  <c r="F105" i="1"/>
  <c r="N105" i="1"/>
  <c r="V105" i="1"/>
  <c r="O105" i="1"/>
  <c r="H105" i="1"/>
  <c r="P105" i="1"/>
  <c r="I105" i="1"/>
  <c r="Q105" i="1"/>
  <c r="J105" i="1"/>
  <c r="R105" i="1"/>
  <c r="G105" i="1"/>
  <c r="AD107" i="1"/>
  <c r="W105" i="1" s="1"/>
  <c r="AD22" i="1"/>
  <c r="AC19" i="1"/>
  <c r="AD19" i="1"/>
  <c r="AE16" i="1"/>
  <c r="AD16" i="1"/>
  <c r="AC16" i="1"/>
  <c r="AD104" i="1"/>
  <c r="AD101" i="1" s="1"/>
  <c r="AE19" i="1" l="1"/>
  <c r="X105" i="1"/>
  <c r="Y105" i="1" s="1"/>
  <c r="AD103" i="1"/>
  <c r="Z105" i="1" l="1"/>
  <c r="AA105" i="1" l="1"/>
  <c r="AD98" i="1" l="1"/>
  <c r="AD106" i="1" s="1"/>
  <c r="AD109" i="1" s="1"/>
  <c r="AA108" i="1" s="1"/>
  <c r="AA109" i="1" s="1"/>
  <c r="X111" i="1" l="1"/>
  <c r="X114" i="1" s="1"/>
  <c r="X116" i="1" s="1"/>
  <c r="X118" i="1" l="1"/>
  <c r="X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<sst xmlns="http://schemas.openxmlformats.org/spreadsheetml/2006/main" count="675" uniqueCount="169">
  <si>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</si>
  <si>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</si>
  <si>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</si>
  <si>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</si>
  <si>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</si>
  <si>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</si>
  <si>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</si>
  <si>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</si>
  <si>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</si>
  <si>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</si>
  <si>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</si>
  <si>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</si>
  <si>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</si>
  <si>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</si>
  <si>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</si>
  <si>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</si>
  <si>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</si>
  <si>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</si>
  <si>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</si>
  <si>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</si>
  <si>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</si>
  <si>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</si>
  <si>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</si>
  <si>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</si>
  <si>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</si>
  <si>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</si>
  <si>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</si>
  <si>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</si>
  <si>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</si>
  <si>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</si>
  <si>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</si>
  <si>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</si>
  <si>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</si>
  <si>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</si>
  <si>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</si>
  <si>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</si>
  <si>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</si>
  <si>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</si>
  <si>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</si>
  <si>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</si>
  <si>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</si>
  <si>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</si>
  <si>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</si>
  <si>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</si>
  <si>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</si>
  <si>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</si>
  <si>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</si>
  <si>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</si>
  <si>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</si>
  <si>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</si>
  <si>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</si>
  <si>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</si>
  <si>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</si>
  <si>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</si>
  <si>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</si>
  <si>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</si>
  <si>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</si>
  <si>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</si>
  <si>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</si>
  <si>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</si>
  <si>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</si>
  <si>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</si>
  <si>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</si>
  <si>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</si>
  <si>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</si>
  <si>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</si>
  <si>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</si>
  <si>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</si>
  <si>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</si>
  <si>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</si>
  <si>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</si>
  <si>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</si>
  <si>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</si>
  <si>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</si>
  <si>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</si>
  <si>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</si>
  <si>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</si>
  <si>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</si>
  <si>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</si>
  <si>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</si>
  <si>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</si>
  <si>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</si>
  <si>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</si>
  <si>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</si>
  <si>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</si>
  <si>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</si>
  <si>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</si>
  <si>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</si>
  <si>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</si>
  <si>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</si>
  <si>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</si>
  <si>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</si>
  <si>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</si>
  <si>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</si>
  <si>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</si>
  <si>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</si>
  <si>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</si>
  <si>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</si>
  <si>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</si>
  <si>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</si>
  <si>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</si>
  <si>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</si>
  <si>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</si>
  <si>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</si>
  <si>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</si>
  <si>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</si>
  <si>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</si>
  <si>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</si>
  <si>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</si>
  <si>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</si>
  <si>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</si>
  <si>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</si>
  <si>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</si>
  <si>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</si>
  <si>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</si>
  <si>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</si>
  <si>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</si>
  <si>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</si>
  <si>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</si>
  <si>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</si>
  <si>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</si>
  <si>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</si>
  <si>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</si>
  <si>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</si>
  <si>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</si>
  <si>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</si>
  <si>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</si>
  <si>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</si>
  <si>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</si>
  <si>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</si>
  <si>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</si>
  <si>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</si>
  <si>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</si>
  <si>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</si>
  <si>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</si>
  <si>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</si>
  <si>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</si>
  <si>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</si>
  <si>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</si>
  <si>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</si>
  <si>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</si>
  <si>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</si>
  <si>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</si>
  <si>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</si>
  <si>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</si>
  <si>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</si>
  <si>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</si>
  <si>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</si>
  <si>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</si>
  <si>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</si>
  <si>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</si>
  <si>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</si>
  <si>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</si>
  <si>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</si>
  <si>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</si>
  <si>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</si>
  <si>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</si>
  <si>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</si>
  <si>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</si>
  <si>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</si>
  <si>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</si>
  <si>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Levered FCF</t>
  </si>
  <si>
    <t>Unlevered FCF</t>
  </si>
  <si>
    <t>Unlevered FCF Proj</t>
  </si>
  <si>
    <t>Unlevered FCF Forecast</t>
  </si>
  <si>
    <t>Dividend Yield</t>
  </si>
  <si>
    <t>5Y Fwd FCF CAGR</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</si>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</sst>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3" fillId="0" borderId="2" xfId="0" applyNumberFormat="1" applyFont="1" applyBorder="1"/>
    <xf numFmtId="165" fontId="10" fillId="0" borderId="0" xfId="0" applyNumberFormat="1" applyFont="1"/>
    <xf numFmtId="164" fontId="13" fillId="0" borderId="3" xfId="0" applyNumberFormat="1" applyFont="1" applyBorder="1"/>
    <xf numFmtId="166" fontId="10" fillId="0" borderId="0" xfId="0" applyNumberFormat="1" applyFont="1"/>
    <xf numFmtId="165" fontId="10" fillId="0" borderId="10" xfId="0" applyNumberFormat="1" applyFont="1" applyBorder="1"/>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0" fontId="1" fillId="0" borderId="0" xfId="0" applyFont="1" applyAlignment="1">
      <alignment indent="1"/>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9" fontId="11" fillId="0" borderId="0" xfId="0" applyNumberFormat="1" applyFont="1"/>
    <xf numFmtId="0" fontId="17" fillId="3" borderId="6" xfId="0" applyFont="1" applyFill="1" applyBorder="1" applyAlignment="1">
      <alignment horizontal="center" vertical="center" wrapText="1"/>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164" fontId="10" fillId="4" borderId="0" xfId="0" applyNumberFormat="1" applyFont="1" applyFill="1" applyAlignment="1">
      <alignment vertical="center"/>
    </xf>
    <xf numFmtId="0" fontId="0" fillId="4" borderId="0" xfId="0" applyFill="1"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0" fontId="12" fillId="5" borderId="0" xfId="0" applyNumberFormat="1" applyFont="1" applyFill="1" applyAlignment="1">
      <alignment vertical="center"/>
    </xf>
    <xf numFmtId="164" fontId="10" fillId="7" borderId="0" xfId="0" applyNumberFormat="1" applyFont="1" applyFill="1" applyAlignment="1">
      <alignment vertical="center"/>
    </xf>
    <xf numFmtId="9" fontId="16" fillId="4" borderId="0" xfId="0" applyNumberFormat="1" applyFont="1" applyFill="1" applyAlignment="1">
      <alignment vertical="center" wrapText="1"/>
    </xf>
    <xf numFmtId="0" fontId="0" fillId="4" borderId="0" xfId="0" applyFill="1" applyAlignment="1">
      <alignment horizontal="left" vertical="center"/>
    </xf>
    <xf numFmtId="0" fontId="16" fillId="7" borderId="0" xfId="0" applyFont="1" applyFill="1" applyAlignment="1">
      <alignment vertical="center" wrapText="1"/>
    </xf>
    <xf numFmtId="0" fontId="16" fillId="4" borderId="0" xfId="0" applyFont="1"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8"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3" fillId="3" borderId="6" xfId="0" applyFont="1" applyFill="1" applyBorder="1" applyAlignment="1">
      <alignment horizontal="center" vertical="center" wrapText="1"/>
    </xf>
    <xf numFmtId="10" fontId="11" fillId="4" borderId="0" xfId="0" applyNumberFormat="1" applyFont="1" applyFill="1"/>
    <xf numFmtId="0" fontId="0" fillId="4" borderId="0" xfId="0" applyFill="1" applyAlignment="1">
      <alignment horizontal="center"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 fillId="5" borderId="0" xfId="0" applyFont="1" applyFill="1" applyAlignment="1">
      <alignment horizontal="center" vertical="center"/>
    </xf>
    <xf numFmtId="0" fontId="12" fillId="6" borderId="0" xfId="0" applyFont="1" applyFill="1" applyAlignment="1">
      <alignment horizontal="center" vertical="center" wrapText="1"/>
    </xf>
    <xf numFmtId="0" fontId="1" fillId="4" borderId="0" xfId="0"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MercadoLibre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9223880597014924E-2"/>
          <c:y val="0.16890430246614563"/>
          <c:w val="0.83046102819237144"/>
          <c:h val="0.59934237078434949"/>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1'!$B$1:$AA$1</c:f>
              <c:numCache>
                <c:formatCode>General</c:formatCode>
                <c:ptCount val="26"/>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pt idx="20">
                  <c:v>2022</c:v>
                </c:pt>
                <c:pt idx="21">
                  <c:v>2023</c:v>
                </c:pt>
                <c:pt idx="22">
                  <c:v>2024</c:v>
                </c:pt>
                <c:pt idx="23">
                  <c:v>2025</c:v>
                </c:pt>
                <c:pt idx="24">
                  <c:v>2026</c:v>
                </c:pt>
                <c:pt idx="25">
                  <c:v>2027</c:v>
                </c:pt>
              </c:numCache>
            </c:numRef>
          </c:cat>
          <c:val>
            <c:numRef>
              <c:f>'Sheet 1'!$B$3:$AA$3</c:f>
              <c:numCache>
                <c:formatCode>#,###,,;\(#,###,,\);\ \-\ \-</c:formatCode>
                <c:ptCount val="26"/>
                <c:pt idx="0">
                  <c:v>1700000</c:v>
                </c:pt>
                <c:pt idx="1">
                  <c:v>5600000</c:v>
                </c:pt>
                <c:pt idx="2">
                  <c:v>12663332</c:v>
                </c:pt>
                <c:pt idx="3">
                  <c:v>28249677</c:v>
                </c:pt>
                <c:pt idx="4">
                  <c:v>52058890</c:v>
                </c:pt>
                <c:pt idx="5">
                  <c:v>85126341</c:v>
                </c:pt>
                <c:pt idx="6">
                  <c:v>137022620</c:v>
                </c:pt>
                <c:pt idx="7">
                  <c:v>172843621</c:v>
                </c:pt>
                <c:pt idx="8">
                  <c:v>216715713</c:v>
                </c:pt>
                <c:pt idx="9">
                  <c:v>298931625</c:v>
                </c:pt>
                <c:pt idx="10">
                  <c:v>373601494</c:v>
                </c:pt>
                <c:pt idx="11">
                  <c:v>472594709</c:v>
                </c:pt>
                <c:pt idx="12">
                  <c:v>556536002</c:v>
                </c:pt>
                <c:pt idx="13">
                  <c:v>651790000</c:v>
                </c:pt>
                <c:pt idx="14">
                  <c:v>844396000</c:v>
                </c:pt>
                <c:pt idx="15">
                  <c:v>1398095000</c:v>
                </c:pt>
                <c:pt idx="16">
                  <c:v>1439653000</c:v>
                </c:pt>
                <c:pt idx="17">
                  <c:v>2296314000</c:v>
                </c:pt>
                <c:pt idx="18">
                  <c:v>3973465000</c:v>
                </c:pt>
                <c:pt idx="19">
                  <c:v>7069409000</c:v>
                </c:pt>
                <c:pt idx="20">
                  <c:v>10537000000</c:v>
                </c:pt>
                <c:pt idx="21">
                  <c:v>13870000000</c:v>
                </c:pt>
                <c:pt idx="22">
                  <c:v>16857000000</c:v>
                </c:pt>
                <c:pt idx="23">
                  <c:v>20240000000</c:v>
                </c:pt>
                <c:pt idx="24">
                  <c:v>24060000000</c:v>
                </c:pt>
                <c:pt idx="25">
                  <c:v>26341000000</c:v>
                </c:pt>
              </c:numCache>
            </c:numRef>
          </c:val>
          <c:extLst>
            <c:ext xmlns:c16="http://schemas.microsoft.com/office/drawing/2014/chart" uri="{C3380CC4-5D6E-409C-BE32-E72D297353CC}">
              <c16:uniqueId val="{00000000-C2EC-534F-B22B-4EE8047B4FF7}"/>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1'!$B$1:$AA$1</c:f>
              <c:numCache>
                <c:formatCode>General</c:formatCode>
                <c:ptCount val="26"/>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pt idx="20">
                  <c:v>2022</c:v>
                </c:pt>
                <c:pt idx="21">
                  <c:v>2023</c:v>
                </c:pt>
                <c:pt idx="22">
                  <c:v>2024</c:v>
                </c:pt>
                <c:pt idx="23">
                  <c:v>2025</c:v>
                </c:pt>
                <c:pt idx="24">
                  <c:v>2026</c:v>
                </c:pt>
                <c:pt idx="25">
                  <c:v>2027</c:v>
                </c:pt>
              </c:numCache>
            </c:numRef>
          </c:cat>
          <c:val>
            <c:numRef>
              <c:f>'Sheet 1'!$B$28:$AA$28</c:f>
              <c:numCache>
                <c:formatCode>#,###,,;\(#,###,,\);\ \-\ \-</c:formatCode>
                <c:ptCount val="26"/>
                <c:pt idx="0">
                  <c:v>-2500000</c:v>
                </c:pt>
                <c:pt idx="1">
                  <c:v>-3200000</c:v>
                </c:pt>
                <c:pt idx="2">
                  <c:v>-2206018</c:v>
                </c:pt>
                <c:pt idx="3">
                  <c:v>2354136</c:v>
                </c:pt>
                <c:pt idx="4">
                  <c:v>1072083</c:v>
                </c:pt>
                <c:pt idx="5">
                  <c:v>9692940</c:v>
                </c:pt>
                <c:pt idx="6">
                  <c:v>18811661</c:v>
                </c:pt>
                <c:pt idx="7">
                  <c:v>33208793</c:v>
                </c:pt>
                <c:pt idx="8">
                  <c:v>56025019</c:v>
                </c:pt>
                <c:pt idx="9">
                  <c:v>76780053</c:v>
                </c:pt>
                <c:pt idx="10">
                  <c:v>101247298</c:v>
                </c:pt>
                <c:pt idx="11">
                  <c:v>117507438</c:v>
                </c:pt>
                <c:pt idx="12">
                  <c:v>72580551</c:v>
                </c:pt>
                <c:pt idx="13">
                  <c:v>105789000</c:v>
                </c:pt>
                <c:pt idx="14">
                  <c:v>136366000</c:v>
                </c:pt>
                <c:pt idx="15">
                  <c:v>13780000</c:v>
                </c:pt>
                <c:pt idx="16">
                  <c:v>-36585000</c:v>
                </c:pt>
                <c:pt idx="17">
                  <c:v>-171999000</c:v>
                </c:pt>
                <c:pt idx="18">
                  <c:v>-707000</c:v>
                </c:pt>
                <c:pt idx="19">
                  <c:v>83304000</c:v>
                </c:pt>
                <c:pt idx="20">
                  <c:v>482000000</c:v>
                </c:pt>
                <c:pt idx="21">
                  <c:v>1053000000</c:v>
                </c:pt>
                <c:pt idx="22">
                  <c:v>1458000000</c:v>
                </c:pt>
                <c:pt idx="23">
                  <c:v>1923000000</c:v>
                </c:pt>
                <c:pt idx="24">
                  <c:v>2719000000</c:v>
                </c:pt>
                <c:pt idx="25">
                  <c:v>3728000000</c:v>
                </c:pt>
              </c:numCache>
            </c:numRef>
          </c:val>
          <c:extLst>
            <c:ext xmlns:c16="http://schemas.microsoft.com/office/drawing/2014/chart" uri="{C3380CC4-5D6E-409C-BE32-E72D297353CC}">
              <c16:uniqueId val="{00000001-C2EC-534F-B22B-4EE8047B4FF7}"/>
            </c:ext>
          </c:extLst>
        </c:ser>
        <c:ser>
          <c:idx val="2"/>
          <c:order val="2"/>
          <c:tx>
            <c:strRef>
              <c:f>'Sheet 1'!$A$105</c:f>
              <c:strCache>
                <c:ptCount val="1"/>
                <c:pt idx="0">
                  <c:v>Unlevered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1'!$B$1:$AA$1</c:f>
              <c:numCache>
                <c:formatCode>General</c:formatCode>
                <c:ptCount val="26"/>
                <c:pt idx="0">
                  <c:v>2002</c:v>
                </c:pt>
                <c:pt idx="1">
                  <c:v>2003</c:v>
                </c:pt>
                <c:pt idx="2">
                  <c:v>2004</c:v>
                </c:pt>
                <c:pt idx="3">
                  <c:v>2005</c:v>
                </c:pt>
                <c:pt idx="4">
                  <c:v>2006</c:v>
                </c:pt>
                <c:pt idx="5">
                  <c:v>2007</c:v>
                </c:pt>
                <c:pt idx="6">
                  <c:v>2008</c:v>
                </c:pt>
                <c:pt idx="7">
                  <c:v>2009</c:v>
                </c:pt>
                <c:pt idx="8">
                  <c:v>2010</c:v>
                </c:pt>
                <c:pt idx="9">
                  <c:v>2011</c:v>
                </c:pt>
                <c:pt idx="10">
                  <c:v>2012</c:v>
                </c:pt>
                <c:pt idx="11">
                  <c:v>2013</c:v>
                </c:pt>
                <c:pt idx="12">
                  <c:v>2014</c:v>
                </c:pt>
                <c:pt idx="13">
                  <c:v>2015</c:v>
                </c:pt>
                <c:pt idx="14">
                  <c:v>2016</c:v>
                </c:pt>
                <c:pt idx="15">
                  <c:v>2017</c:v>
                </c:pt>
                <c:pt idx="16">
                  <c:v>2018</c:v>
                </c:pt>
                <c:pt idx="17">
                  <c:v>2019</c:v>
                </c:pt>
                <c:pt idx="18">
                  <c:v>2020</c:v>
                </c:pt>
                <c:pt idx="19">
                  <c:v>2021</c:v>
                </c:pt>
                <c:pt idx="20">
                  <c:v>2022</c:v>
                </c:pt>
                <c:pt idx="21">
                  <c:v>2023</c:v>
                </c:pt>
                <c:pt idx="22">
                  <c:v>2024</c:v>
                </c:pt>
                <c:pt idx="23">
                  <c:v>2025</c:v>
                </c:pt>
                <c:pt idx="24">
                  <c:v>2026</c:v>
                </c:pt>
                <c:pt idx="25">
                  <c:v>2027</c:v>
                </c:pt>
              </c:numCache>
            </c:numRef>
          </c:cat>
          <c:val>
            <c:numRef>
              <c:f>'Sheet 1'!$B$105:$AA$105</c:f>
              <c:numCache>
                <c:formatCode>#,###,,;\(#,###,,\);\ \-\ \-</c:formatCode>
                <c:ptCount val="26"/>
                <c:pt idx="0">
                  <c:v>0</c:v>
                </c:pt>
                <c:pt idx="1">
                  <c:v>0</c:v>
                </c:pt>
                <c:pt idx="2">
                  <c:v>0</c:v>
                </c:pt>
                <c:pt idx="3">
                  <c:v>1729471.0820512821</c:v>
                </c:pt>
                <c:pt idx="4">
                  <c:v>6101130.3051282056</c:v>
                </c:pt>
                <c:pt idx="5">
                  <c:v>5113243.0769230779</c:v>
                </c:pt>
                <c:pt idx="6">
                  <c:v>61323972.053846151</c:v>
                </c:pt>
                <c:pt idx="7">
                  <c:v>48713118.817948721</c:v>
                </c:pt>
                <c:pt idx="8">
                  <c:v>48796375.366666667</c:v>
                </c:pt>
                <c:pt idx="9">
                  <c:v>53434728.448717952</c:v>
                </c:pt>
                <c:pt idx="10">
                  <c:v>100507686.15641026</c:v>
                </c:pt>
                <c:pt idx="11">
                  <c:v>-5697910.8076923043</c:v>
                </c:pt>
                <c:pt idx="12">
                  <c:v>100713904.34102565</c:v>
                </c:pt>
                <c:pt idx="13">
                  <c:v>79381989.743589744</c:v>
                </c:pt>
                <c:pt idx="14">
                  <c:v>45596323.076923072</c:v>
                </c:pt>
                <c:pt idx="15">
                  <c:v>73736828.205128208</c:v>
                </c:pt>
                <c:pt idx="16">
                  <c:v>170592687.17948717</c:v>
                </c:pt>
                <c:pt idx="17">
                  <c:v>196800356.41025639</c:v>
                </c:pt>
                <c:pt idx="18">
                  <c:v>709679107.69230771</c:v>
                </c:pt>
                <c:pt idx="19">
                  <c:v>-96967146.153846145</c:v>
                </c:pt>
                <c:pt idx="20">
                  <c:v>2738958974.3589745</c:v>
                </c:pt>
                <c:pt idx="21">
                  <c:v>3295460001.9850879</c:v>
                </c:pt>
                <c:pt idx="22">
                  <c:v>3965030774.9590306</c:v>
                </c:pt>
                <c:pt idx="23">
                  <c:v>4770644777.0272017</c:v>
                </c:pt>
                <c:pt idx="24">
                  <c:v>5739943238.8547049</c:v>
                </c:pt>
                <c:pt idx="25">
                  <c:v>6906183529.7249966</c:v>
                </c:pt>
              </c:numCache>
            </c:numRef>
          </c:val>
          <c:extLst>
            <c:ext xmlns:c16="http://schemas.microsoft.com/office/drawing/2014/chart" uri="{C3380CC4-5D6E-409C-BE32-E72D297353CC}">
              <c16:uniqueId val="{00000002-C2EC-534F-B22B-4EE8047B4FF7}"/>
            </c:ext>
          </c:extLst>
        </c:ser>
        <c:dLbls>
          <c:showLegendKey val="0"/>
          <c:showVal val="0"/>
          <c:showCatName val="0"/>
          <c:showSerName val="0"/>
          <c:showPercent val="0"/>
          <c:showBubbleSize val="0"/>
        </c:dLbls>
        <c:gapWidth val="150"/>
        <c:overlap val="100"/>
        <c:axId val="1643472992"/>
        <c:axId val="1653249072"/>
      </c:barChart>
      <c:catAx>
        <c:axId val="164347299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US"/>
          </a:p>
        </c:txPr>
        <c:crossAx val="1653249072"/>
        <c:crosses val="autoZero"/>
        <c:auto val="1"/>
        <c:lblAlgn val="ctr"/>
        <c:lblOffset val="100"/>
        <c:noMultiLvlLbl val="0"/>
      </c:catAx>
      <c:valAx>
        <c:axId val="1653249072"/>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43472992"/>
        <c:crosses val="autoZero"/>
        <c:crossBetween val="between"/>
      </c:valAx>
      <c:spPr>
        <a:noFill/>
        <a:ln>
          <a:noFill/>
        </a:ln>
        <a:effectLst/>
      </c:spPr>
    </c:plotArea>
    <c:legend>
      <c:legendPos val="b"/>
      <c:layout>
        <c:manualLayout>
          <c:xMode val="edge"/>
          <c:yMode val="edge"/>
          <c:x val="0.33459077316827934"/>
          <c:y val="0.88851162023271746"/>
          <c:w val="0.33347185333176638"/>
          <c:h val="6.261475800582154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24</xdr:col>
      <xdr:colOff>31749</xdr:colOff>
      <xdr:row>109</xdr:row>
      <xdr:rowOff>17463</xdr:rowOff>
    </xdr:from>
    <xdr:to>
      <xdr:col>29</xdr:col>
      <xdr:colOff>1587499</xdr:colOff>
      <xdr:row>127</xdr:row>
      <xdr:rowOff>0</xdr:rowOff>
    </xdr:to>
    <xdr:graphicFrame macro="">
      <xdr:nvGraphicFramePr>
        <xdr:cNvPr id="3" name="Chart 2">
          <a:extLst>
            <a:ext uri="{FF2B5EF4-FFF2-40B4-BE49-F238E27FC236}">
              <a16:creationId xmlns:a16="http://schemas.microsoft.com/office/drawing/2014/main" id="{3BD46E8D-9E3F-1FA9-9972-CD28E9B7DA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https://www.bing.com/financeapi/forcetrigger?t=a1xh8m&amp;q=XNAS%3aMELI&amp;form=skydnc</v>
    <v>Learn more on Bing</v>
  </rv>
  <rv s="1">
    <v>0</v>
    <v>MERCADOLIBRE, INC. (XNAS:MELI)</v>
    <v>2</v>
    <v>3</v>
    <v>Finance</v>
    <v>4</v>
    <v>en-US</v>
    <v>a1xh8m</v>
    <v>268435456</v>
    <v>1</v>
    <v>Powered by Refinitiv</v>
    <v>1451.56</v>
    <v>815.85500000000002</v>
    <v>1.5367</v>
    <v>25.45</v>
    <v>2.1659999999999999E-2</v>
    <v>0.3</v>
    <v>2.499E-4</v>
    <v>USD</v>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40548</v>
    <v>Nasdaq Stock Market</v>
    <v>XNAS</v>
    <v>XNAS</v>
    <v>WTC Free Zone, Dr. Luis Bonavita 1294, Of. 1733, Tower II, MONTEVIDEO, URUGUAY-NA, 11300 UY</v>
    <v>1216.93</v>
    <v>Software &amp; IT Services</v>
    <v>Stock</v>
    <v>45226.996607383597</v>
    <v>0</v>
    <v>1188.4000000000001</v>
    <v>60133750000</v>
    <v>MERCADOLIBRE, INC.</v>
    <v>MERCADOLIBRE, INC.</v>
    <v>1199.9100000000001</v>
    <v>80.495000000000005</v>
    <v>1175</v>
    <v>1200.45</v>
    <v>1200.75</v>
    <v>50092670</v>
    <v>MELI</v>
    <v>MERCADOLIBRE, INC. (XNAS:MELI)</v>
    <v>498168</v>
    <v>313638</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99590/000119312508070409/0001193125-08-070409-index.htm" TargetMode="External"/><Relationship Id="rId18" Type="http://schemas.openxmlformats.org/officeDocument/2006/relationships/hyperlink" Target="https://www.sec.gov/Archives/edgar/data/1099590/000095012311018724/0000950123-11-018724-index.htm" TargetMode="External"/><Relationship Id="rId26" Type="http://schemas.openxmlformats.org/officeDocument/2006/relationships/hyperlink" Target="https://www.sec.gov/Archives/edgar/data/1099590/000119312515069727/0001193125-15-069727-index.htm" TargetMode="External"/><Relationship Id="rId39" Type="http://schemas.openxmlformats.org/officeDocument/2006/relationships/hyperlink" Target="https://www.sec.gov/Archives/edgar/data/1099590/000156276221000079/0001562762-21-000079-index.htm" TargetMode="External"/><Relationship Id="rId21" Type="http://schemas.openxmlformats.org/officeDocument/2006/relationships/hyperlink" Target="https://www.sec.gov/Archives/edgar/data/1099590/000119312512085292/0001193125-12-085292-index.htm" TargetMode="External"/><Relationship Id="rId34" Type="http://schemas.openxmlformats.org/officeDocument/2006/relationships/hyperlink" Target="https://www.sec.gov/Archives/edgar/data/1099590/000156276219000047/0001562762-19-000047-index.htm" TargetMode="External"/><Relationship Id="rId42" Type="http://schemas.openxmlformats.org/officeDocument/2006/relationships/hyperlink" Target="https://www.sec.gov/Archives/edgar/data/1099590/000109959023000007/0001099590-23-000007-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99590/000095012310018199/0000950123-10-018199-index.htm" TargetMode="External"/><Relationship Id="rId29" Type="http://schemas.openxmlformats.org/officeDocument/2006/relationships/hyperlink" Target="https://www.sec.gov/Archives/edgar/data/1099590/000156276216000352/0001562762-16-000352-index.htm" TargetMode="External"/><Relationship Id="rId1" Type="http://schemas.openxmlformats.org/officeDocument/2006/relationships/hyperlink" Target="https://roic.ai/company/MELI"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099590/000119312514078151/0001193125-14-078151-index.htm" TargetMode="External"/><Relationship Id="rId32" Type="http://schemas.openxmlformats.org/officeDocument/2006/relationships/hyperlink" Target="https://www.sec.gov/Archives/edgar/data/1099590/000156276218000040/0001562762-18-000040-index.htm" TargetMode="External"/><Relationship Id="rId37" Type="http://schemas.openxmlformats.org/officeDocument/2006/relationships/hyperlink" Target="https://www.sec.gov/Archives/edgar/data/1099590/000156276220000055/0001562762-20-000055-index.htm" TargetMode="External"/><Relationship Id="rId40" Type="http://schemas.openxmlformats.org/officeDocument/2006/relationships/hyperlink" Target="https://www.sec.gov/Archives/edgar/data/1099590/000156276222000049/0001562762-22-000049-index.htm" TargetMode="External"/><Relationship Id="rId45" Type="http://schemas.openxmlformats.org/officeDocument/2006/relationships/hyperlink" Target="https://finbox.com/NASDAQGS:MELI/explorer/fcf_unlev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099590/000136231009002931/0001362310-09-002931-index.htm" TargetMode="External"/><Relationship Id="rId23" Type="http://schemas.openxmlformats.org/officeDocument/2006/relationships/hyperlink" Target="https://www.sec.gov/Archives/edgar/data/1099590/000119312513081326/0001193125-13-081326-index.htm" TargetMode="External"/><Relationship Id="rId28" Type="http://schemas.openxmlformats.org/officeDocument/2006/relationships/hyperlink" Target="https://www.sec.gov/Archives/edgar/data/1099590/000156276216000352/0001562762-16-000352-index.htm" TargetMode="External"/><Relationship Id="rId36" Type="http://schemas.openxmlformats.org/officeDocument/2006/relationships/hyperlink" Target="https://www.sec.gov/Archives/edgar/data/1099590/000156276220000055/0001562762-20-000055-index.htm"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099590/000095012311018724/0000950123-11-018724-index.htm" TargetMode="External"/><Relationship Id="rId31" Type="http://schemas.openxmlformats.org/officeDocument/2006/relationships/hyperlink" Target="https://www.sec.gov/Archives/edgar/data/1099590/000156276217000024/0001562762-17-000024-index.htm" TargetMode="External"/><Relationship Id="rId44" Type="http://schemas.openxmlformats.org/officeDocument/2006/relationships/hyperlink" Target="https://finbox.com/NASDAQGS:MELI/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099590/000136231009002931/0001362310-09-002931-index.htm" TargetMode="External"/><Relationship Id="rId22" Type="http://schemas.openxmlformats.org/officeDocument/2006/relationships/hyperlink" Target="https://www.sec.gov/Archives/edgar/data/1099590/000119312513081326/0001193125-13-081326-index.htm" TargetMode="External"/><Relationship Id="rId27" Type="http://schemas.openxmlformats.org/officeDocument/2006/relationships/hyperlink" Target="https://www.sec.gov/Archives/edgar/data/1099590/000119312515069727/0001193125-15-069727-index.htm" TargetMode="External"/><Relationship Id="rId30" Type="http://schemas.openxmlformats.org/officeDocument/2006/relationships/hyperlink" Target="https://www.sec.gov/Archives/edgar/data/1099590/000156276217000024/0001562762-17-000024-index.htm" TargetMode="External"/><Relationship Id="rId35" Type="http://schemas.openxmlformats.org/officeDocument/2006/relationships/hyperlink" Target="https://www.sec.gov/Archives/edgar/data/1099590/000156276219000047/0001562762-19-000047-index.htm" TargetMode="External"/><Relationship Id="rId43" Type="http://schemas.openxmlformats.org/officeDocument/2006/relationships/hyperlink" Target="https://www.sec.gov/Archives/edgar/data/1099590/000109959023000007/0001099590-23-000007-index.htm"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99590/000119312508070409/0001193125-08-070409-index.htm" TargetMode="External"/><Relationship Id="rId17" Type="http://schemas.openxmlformats.org/officeDocument/2006/relationships/hyperlink" Target="https://www.sec.gov/Archives/edgar/data/1099590/000095012310018199/0000950123-10-018199-index.htm" TargetMode="External"/><Relationship Id="rId25" Type="http://schemas.openxmlformats.org/officeDocument/2006/relationships/hyperlink" Target="https://www.sec.gov/Archives/edgar/data/1099590/000119312514078151/0001193125-14-078151-index.htm" TargetMode="External"/><Relationship Id="rId33" Type="http://schemas.openxmlformats.org/officeDocument/2006/relationships/hyperlink" Target="https://www.sec.gov/Archives/edgar/data/1099590/000156276218000040/0001562762-18-000040-index.htm" TargetMode="External"/><Relationship Id="rId38" Type="http://schemas.openxmlformats.org/officeDocument/2006/relationships/hyperlink" Target="https://www.sec.gov/Archives/edgar/data/1099590/000156276221000079/0001562762-21-000079-index.htm" TargetMode="External"/><Relationship Id="rId46" Type="http://schemas.openxmlformats.org/officeDocument/2006/relationships/drawing" Target="../drawings/drawing1.xml"/><Relationship Id="rId20" Type="http://schemas.openxmlformats.org/officeDocument/2006/relationships/hyperlink" Target="https://www.sec.gov/Archives/edgar/data/1099590/000119312512085292/0001193125-12-085292-index.htm" TargetMode="External"/><Relationship Id="rId41" Type="http://schemas.openxmlformats.org/officeDocument/2006/relationships/hyperlink" Target="https://www.sec.gov/Archives/edgar/data/1099590/000156276222000049/0001562762-22-00004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9"/>
  <sheetViews>
    <sheetView tabSelected="1" zoomScale="80" zoomScaleNormal="80" workbookViewId="0">
      <pane xSplit="1" ySplit="1" topLeftCell="S93" activePane="bottomRight" state="frozen"/>
      <selection pane="topRight"/>
      <selection pane="bottomLeft"/>
      <selection pane="bottomRight" activeCell="U113" sqref="U113"/>
    </sheetView>
  </sheetViews>
  <sheetFormatPr baseColWidth="10" defaultRowHeight="16" x14ac:dyDescent="0.2"/>
  <cols>
    <col min="1" max="1" width="50" customWidth="1"/>
    <col min="2" max="22" width="15" customWidth="1"/>
    <col min="23" max="31" width="21" customWidth="1"/>
  </cols>
  <sheetData>
    <row r="1" spans="1:31" ht="22" thickBot="1" x14ac:dyDescent="0.3">
      <c r="A1" s="3" t="e" vm="1">
        <v>#VALUE!</v>
      </c>
      <c r="B1" s="8">
        <v>2002</v>
      </c>
      <c r="C1" s="8">
        <v>2003</v>
      </c>
      <c r="D1" s="8">
        <v>2004</v>
      </c>
      <c r="E1" s="8">
        <v>2005</v>
      </c>
      <c r="F1" s="8">
        <v>2006</v>
      </c>
      <c r="G1" s="8">
        <v>2007</v>
      </c>
      <c r="H1" s="8">
        <v>2008</v>
      </c>
      <c r="I1" s="8">
        <v>2009</v>
      </c>
      <c r="J1" s="8">
        <v>2010</v>
      </c>
      <c r="K1" s="8">
        <v>2011</v>
      </c>
      <c r="L1" s="8">
        <v>2012</v>
      </c>
      <c r="M1" s="8">
        <v>2013</v>
      </c>
      <c r="N1" s="8">
        <v>2014</v>
      </c>
      <c r="O1" s="8">
        <v>2015</v>
      </c>
      <c r="P1" s="8">
        <v>2016</v>
      </c>
      <c r="Q1" s="8">
        <v>2017</v>
      </c>
      <c r="R1" s="8">
        <v>2018</v>
      </c>
      <c r="S1" s="8">
        <v>2019</v>
      </c>
      <c r="T1" s="8">
        <v>2020</v>
      </c>
      <c r="U1" s="8">
        <v>2021</v>
      </c>
      <c r="V1" s="8">
        <v>2022</v>
      </c>
      <c r="W1" s="23">
        <v>2023</v>
      </c>
      <c r="X1" s="23">
        <v>2024</v>
      </c>
      <c r="Y1" s="23">
        <v>2025</v>
      </c>
      <c r="Z1" s="23">
        <v>2026</v>
      </c>
      <c r="AA1" s="23">
        <v>2027</v>
      </c>
    </row>
    <row r="2" spans="1:31"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c r="AA2" s="9"/>
      <c r="AB2" s="9"/>
      <c r="AC2" s="9"/>
      <c r="AD2" s="9"/>
      <c r="AE2" s="9"/>
    </row>
    <row r="3" spans="1:31" ht="40" x14ac:dyDescent="0.25">
      <c r="A3" s="5" t="s">
        <v>1</v>
      </c>
      <c r="B3" s="1">
        <v>1700000</v>
      </c>
      <c r="C3" s="1">
        <v>5600000</v>
      </c>
      <c r="D3" s="1">
        <v>12663332</v>
      </c>
      <c r="E3" s="1">
        <v>28249677</v>
      </c>
      <c r="F3" s="1">
        <v>52058890</v>
      </c>
      <c r="G3" s="1">
        <v>85126341</v>
      </c>
      <c r="H3" s="1">
        <v>137022620</v>
      </c>
      <c r="I3" s="1">
        <v>172843621</v>
      </c>
      <c r="J3" s="1">
        <v>216715713</v>
      </c>
      <c r="K3" s="1">
        <v>298931625</v>
      </c>
      <c r="L3" s="1">
        <v>373601494</v>
      </c>
      <c r="M3" s="1">
        <v>472594709</v>
      </c>
      <c r="N3" s="1">
        <v>556536002</v>
      </c>
      <c r="O3" s="1">
        <v>651790000</v>
      </c>
      <c r="P3" s="1">
        <v>844396000</v>
      </c>
      <c r="Q3" s="1">
        <v>1398095000</v>
      </c>
      <c r="R3" s="1">
        <v>1439653000</v>
      </c>
      <c r="S3" s="1">
        <v>2296314000</v>
      </c>
      <c r="T3" s="1">
        <v>3973465000</v>
      </c>
      <c r="U3" s="1">
        <v>7069409000</v>
      </c>
      <c r="V3" s="1">
        <v>10537000000</v>
      </c>
      <c r="W3" s="24">
        <v>13870000000</v>
      </c>
      <c r="X3" s="24">
        <v>16857000000</v>
      </c>
      <c r="Y3" s="24">
        <v>20240000000</v>
      </c>
      <c r="Z3" s="24">
        <v>24060000000</v>
      </c>
      <c r="AA3" s="24">
        <v>26341000000</v>
      </c>
      <c r="AB3" s="18" t="s">
        <v>108</v>
      </c>
      <c r="AC3" s="19" t="s">
        <v>109</v>
      </c>
      <c r="AD3" s="19" t="s">
        <v>110</v>
      </c>
      <c r="AE3" s="19" t="s">
        <v>111</v>
      </c>
    </row>
    <row r="4" spans="1:31" ht="19" x14ac:dyDescent="0.25">
      <c r="A4" s="14" t="s">
        <v>93</v>
      </c>
      <c r="B4" s="1"/>
      <c r="C4" s="42">
        <f>(C3/B3)-1</f>
        <v>2.2941176470588234</v>
      </c>
      <c r="D4" s="42">
        <f>(D3/C3)-1</f>
        <v>1.2613092857142858</v>
      </c>
      <c r="E4" s="42">
        <f>(E3/D3)-1</f>
        <v>1.2308249519162886</v>
      </c>
      <c r="F4" s="42">
        <f t="shared" ref="F4:AA4" si="0">(F3/E3)-1</f>
        <v>0.84281363641786067</v>
      </c>
      <c r="G4" s="42">
        <f t="shared" si="0"/>
        <v>0.63519316297370154</v>
      </c>
      <c r="H4" s="42">
        <f t="shared" si="0"/>
        <v>0.60963831395032009</v>
      </c>
      <c r="I4" s="42">
        <f t="shared" si="0"/>
        <v>0.26142399700137098</v>
      </c>
      <c r="J4" s="42">
        <f t="shared" si="0"/>
        <v>0.2538253465541549</v>
      </c>
      <c r="K4" s="42">
        <f t="shared" si="0"/>
        <v>0.37937217778020549</v>
      </c>
      <c r="L4" s="42">
        <f t="shared" si="0"/>
        <v>0.24978912485422033</v>
      </c>
      <c r="M4" s="42">
        <f t="shared" si="0"/>
        <v>0.26497007263038408</v>
      </c>
      <c r="N4" s="42">
        <f t="shared" si="0"/>
        <v>0.17761792800773812</v>
      </c>
      <c r="O4" s="42">
        <f t="shared" si="0"/>
        <v>0.17115514119066821</v>
      </c>
      <c r="P4" s="42">
        <f t="shared" si="0"/>
        <v>0.29550315285598128</v>
      </c>
      <c r="Q4" s="42">
        <f t="shared" si="0"/>
        <v>0.65573380262341363</v>
      </c>
      <c r="R4" s="42">
        <f t="shared" si="0"/>
        <v>2.9724732582549818E-2</v>
      </c>
      <c r="S4" s="42">
        <f t="shared" si="0"/>
        <v>0.59504686198688161</v>
      </c>
      <c r="T4" s="42">
        <f t="shared" si="0"/>
        <v>0.73036657878669908</v>
      </c>
      <c r="U4" s="42">
        <f t="shared" si="0"/>
        <v>0.77915471760793165</v>
      </c>
      <c r="V4" s="42">
        <f t="shared" si="0"/>
        <v>0.49050649071230712</v>
      </c>
      <c r="W4" s="16">
        <f t="shared" si="0"/>
        <v>0.31631394134953017</v>
      </c>
      <c r="X4" s="16">
        <f t="shared" si="0"/>
        <v>0.21535688536409525</v>
      </c>
      <c r="Y4" s="16">
        <f t="shared" si="0"/>
        <v>0.2006881414249273</v>
      </c>
      <c r="Z4" s="16">
        <f t="shared" si="0"/>
        <v>0.18873517786561256</v>
      </c>
      <c r="AA4" s="16">
        <f t="shared" si="0"/>
        <v>9.4804655029093965E-2</v>
      </c>
      <c r="AB4" s="17">
        <f>(V4+U4+T4)/3</f>
        <v>0.66667592903564599</v>
      </c>
      <c r="AC4" s="17">
        <f>(V20+U20+T20)/3</f>
        <v>3.567261471338897</v>
      </c>
      <c r="AD4" s="17">
        <f>(V29+U29+T29)/3</f>
        <v>-38.345764237639422</v>
      </c>
      <c r="AE4" s="17">
        <f>(V106+U106+T106)/3</f>
        <v>2.4496870131200623</v>
      </c>
    </row>
    <row r="5" spans="1:31" ht="19" x14ac:dyDescent="0.25">
      <c r="A5" s="5" t="s">
        <v>2</v>
      </c>
      <c r="B5" s="1">
        <v>700000</v>
      </c>
      <c r="C5" s="1">
        <v>1100000</v>
      </c>
      <c r="D5" s="1" t="s">
        <v>91</v>
      </c>
      <c r="E5" s="1">
        <v>6138732</v>
      </c>
      <c r="F5" s="1">
        <v>12085648</v>
      </c>
      <c r="G5" s="1">
        <v>19001060</v>
      </c>
      <c r="H5" s="1">
        <v>27536573</v>
      </c>
      <c r="I5" s="1">
        <v>35958050</v>
      </c>
      <c r="J5" s="1">
        <v>46549845</v>
      </c>
      <c r="K5" s="1">
        <v>72055835</v>
      </c>
      <c r="L5" s="1">
        <v>98085644</v>
      </c>
      <c r="M5" s="1">
        <v>130076879</v>
      </c>
      <c r="N5" s="1">
        <v>158978001</v>
      </c>
      <c r="O5" s="1">
        <v>214994000</v>
      </c>
      <c r="P5" s="1">
        <v>307538000</v>
      </c>
      <c r="Q5" s="1">
        <v>678495000</v>
      </c>
      <c r="R5" s="1">
        <v>742645000</v>
      </c>
      <c r="S5" s="1">
        <v>1194191000</v>
      </c>
      <c r="T5" s="1">
        <v>2264255000</v>
      </c>
      <c r="U5" s="1">
        <v>4064357000</v>
      </c>
      <c r="V5" s="1">
        <v>4279000000</v>
      </c>
    </row>
    <row r="6" spans="1:31" ht="20" x14ac:dyDescent="0.25">
      <c r="A6" s="6" t="s">
        <v>3</v>
      </c>
      <c r="B6" s="10">
        <v>1000000</v>
      </c>
      <c r="C6" s="10">
        <v>4500000</v>
      </c>
      <c r="D6" s="10" t="s">
        <v>91</v>
      </c>
      <c r="E6" s="10">
        <v>22110945</v>
      </c>
      <c r="F6" s="10">
        <v>39973242</v>
      </c>
      <c r="G6" s="10">
        <v>66125281</v>
      </c>
      <c r="H6" s="10">
        <v>109486047</v>
      </c>
      <c r="I6" s="10">
        <v>136885571</v>
      </c>
      <c r="J6" s="10">
        <v>170165868</v>
      </c>
      <c r="K6" s="10">
        <v>226875790</v>
      </c>
      <c r="L6" s="10">
        <v>275515850</v>
      </c>
      <c r="M6" s="10">
        <v>342517830</v>
      </c>
      <c r="N6" s="10">
        <v>397558001</v>
      </c>
      <c r="O6" s="10">
        <v>436796000</v>
      </c>
      <c r="P6" s="10">
        <v>536858000</v>
      </c>
      <c r="Q6" s="10">
        <v>719600000</v>
      </c>
      <c r="R6" s="10">
        <v>697008000</v>
      </c>
      <c r="S6" s="10">
        <v>1102123000</v>
      </c>
      <c r="T6" s="10">
        <v>1709210000</v>
      </c>
      <c r="U6" s="10">
        <v>3005052000</v>
      </c>
      <c r="V6" s="10">
        <v>5163000000</v>
      </c>
      <c r="AB6" s="67" t="s">
        <v>112</v>
      </c>
      <c r="AC6" s="19" t="s">
        <v>113</v>
      </c>
      <c r="AD6" s="19" t="s">
        <v>114</v>
      </c>
      <c r="AE6" s="19" t="s">
        <v>115</v>
      </c>
    </row>
    <row r="7" spans="1:31" ht="19" x14ac:dyDescent="0.25">
      <c r="A7" s="5" t="s">
        <v>4</v>
      </c>
      <c r="B7" s="2">
        <v>0.58819999999999995</v>
      </c>
      <c r="C7" s="2">
        <v>0.80359999999999998</v>
      </c>
      <c r="D7" s="2" t="s">
        <v>91</v>
      </c>
      <c r="E7" s="2">
        <v>0.78269999999999995</v>
      </c>
      <c r="F7" s="2">
        <v>0.76780000000000004</v>
      </c>
      <c r="G7" s="2">
        <v>0.77680000000000005</v>
      </c>
      <c r="H7" s="2">
        <v>0.79900000000000004</v>
      </c>
      <c r="I7" s="2">
        <v>0.79200000000000004</v>
      </c>
      <c r="J7" s="2">
        <v>0.78520000000000001</v>
      </c>
      <c r="K7" s="2">
        <v>0.75900000000000001</v>
      </c>
      <c r="L7" s="2">
        <v>0.73750000000000004</v>
      </c>
      <c r="M7" s="2">
        <v>0.7248</v>
      </c>
      <c r="N7" s="2">
        <v>0.71430000000000005</v>
      </c>
      <c r="O7" s="2">
        <v>0.67010000000000003</v>
      </c>
      <c r="P7" s="2">
        <v>0.63580000000000003</v>
      </c>
      <c r="Q7" s="2">
        <v>0.51470000000000005</v>
      </c>
      <c r="R7" s="2">
        <v>0.48420000000000002</v>
      </c>
      <c r="S7" s="2">
        <v>0.48</v>
      </c>
      <c r="T7" s="2">
        <v>0.43020000000000003</v>
      </c>
      <c r="U7" s="2">
        <v>0.42509999999999998</v>
      </c>
      <c r="V7" s="2">
        <f>V6/V3</f>
        <v>0.48998766252253961</v>
      </c>
      <c r="AB7" s="17">
        <f>V7</f>
        <v>0.48998766252253961</v>
      </c>
      <c r="AC7" s="20">
        <f>W21</f>
        <v>0.17476568132660419</v>
      </c>
      <c r="AD7" s="20">
        <f>W30</f>
        <v>7.5919250180245132E-2</v>
      </c>
      <c r="AE7" s="20">
        <f>W107/W3</f>
        <v>4.3914924297043981E-2</v>
      </c>
    </row>
    <row r="8" spans="1:31" ht="19" x14ac:dyDescent="0.25">
      <c r="A8" s="5" t="s">
        <v>5</v>
      </c>
      <c r="B8" s="1">
        <v>700000</v>
      </c>
      <c r="C8" s="1">
        <v>1000000</v>
      </c>
      <c r="D8" s="1" t="s">
        <v>91</v>
      </c>
      <c r="E8" s="1">
        <v>2186220</v>
      </c>
      <c r="F8" s="1">
        <v>3066304</v>
      </c>
      <c r="G8" s="1">
        <v>4369376</v>
      </c>
      <c r="H8" s="1">
        <v>7307008</v>
      </c>
      <c r="I8" s="1">
        <v>12140521</v>
      </c>
      <c r="J8" s="1">
        <v>15855992</v>
      </c>
      <c r="K8" s="1">
        <v>23349787</v>
      </c>
      <c r="L8" s="1">
        <v>28626880</v>
      </c>
      <c r="M8" s="1">
        <v>40888139</v>
      </c>
      <c r="N8" s="1">
        <v>53599639</v>
      </c>
      <c r="O8" s="1">
        <v>76423000</v>
      </c>
      <c r="P8" s="1">
        <v>98479000</v>
      </c>
      <c r="Q8" s="1">
        <v>127160000</v>
      </c>
      <c r="R8" s="1">
        <v>146273000</v>
      </c>
      <c r="S8" s="1">
        <v>223807000</v>
      </c>
      <c r="T8" s="1">
        <v>352474000</v>
      </c>
      <c r="U8" s="1">
        <v>590328000</v>
      </c>
      <c r="V8" s="1">
        <v>1099000000</v>
      </c>
    </row>
    <row r="9" spans="1:31" ht="19" customHeight="1" x14ac:dyDescent="0.25">
      <c r="A9" s="14" t="s">
        <v>94</v>
      </c>
      <c r="B9" s="15">
        <f>B8/B3</f>
        <v>0.41176470588235292</v>
      </c>
      <c r="C9" s="15">
        <f t="shared" ref="C9:V9" si="1">C8/C3</f>
        <v>0.17857142857142858</v>
      </c>
      <c r="D9" s="15" t="e">
        <f t="shared" si="1"/>
        <v>#VALUE!</v>
      </c>
      <c r="E9" s="15">
        <f t="shared" si="1"/>
        <v>7.7389203423458605E-2</v>
      </c>
      <c r="F9" s="15">
        <f t="shared" si="1"/>
        <v>5.8900679595742439E-2</v>
      </c>
      <c r="G9" s="15">
        <f t="shared" si="1"/>
        <v>5.132813120676713E-2</v>
      </c>
      <c r="H9" s="15">
        <f t="shared" si="1"/>
        <v>5.332702002049005E-2</v>
      </c>
      <c r="I9" s="15">
        <f t="shared" si="1"/>
        <v>7.0239913569040538E-2</v>
      </c>
      <c r="J9" s="15">
        <f t="shared" si="1"/>
        <v>7.3164939359980793E-2</v>
      </c>
      <c r="K9" s="15">
        <f t="shared" si="1"/>
        <v>7.8110795403463926E-2</v>
      </c>
      <c r="L9" s="15">
        <f t="shared" si="1"/>
        <v>7.6624104720523417E-2</v>
      </c>
      <c r="M9" s="15">
        <f t="shared" si="1"/>
        <v>8.6518401965435462E-2</v>
      </c>
      <c r="N9" s="15">
        <f t="shared" si="1"/>
        <v>9.6309383054072398E-2</v>
      </c>
      <c r="O9" s="15">
        <f t="shared" si="1"/>
        <v>0.11725095506221329</v>
      </c>
      <c r="P9" s="15">
        <f t="shared" si="1"/>
        <v>0.11662655910260115</v>
      </c>
      <c r="Q9" s="15">
        <f t="shared" si="1"/>
        <v>9.0952331565451558E-2</v>
      </c>
      <c r="R9" s="15">
        <f t="shared" si="1"/>
        <v>0.10160295571224455</v>
      </c>
      <c r="S9" s="15">
        <f t="shared" si="1"/>
        <v>9.7463587296859222E-2</v>
      </c>
      <c r="T9" s="15">
        <f t="shared" si="1"/>
        <v>8.8706959794537008E-2</v>
      </c>
      <c r="U9" s="15">
        <f t="shared" si="1"/>
        <v>8.3504575842195575E-2</v>
      </c>
      <c r="V9" s="15">
        <f t="shared" si="1"/>
        <v>0.10429913637657777</v>
      </c>
      <c r="AB9" s="18" t="s">
        <v>95</v>
      </c>
      <c r="AC9" s="19" t="s">
        <v>96</v>
      </c>
      <c r="AD9" s="19" t="s">
        <v>97</v>
      </c>
      <c r="AE9" s="19" t="s">
        <v>98</v>
      </c>
    </row>
    <row r="10" spans="1:31" ht="19" x14ac:dyDescent="0.25">
      <c r="A10" s="5" t="s">
        <v>6</v>
      </c>
      <c r="B10" s="1" t="s">
        <v>91</v>
      </c>
      <c r="C10" s="1" t="s">
        <v>91</v>
      </c>
      <c r="D10" s="1" t="s">
        <v>91</v>
      </c>
      <c r="E10" s="1" t="s">
        <v>91</v>
      </c>
      <c r="F10" s="1" t="s">
        <v>91</v>
      </c>
      <c r="G10" s="1" t="s">
        <v>91</v>
      </c>
      <c r="H10" s="1">
        <v>24679801</v>
      </c>
      <c r="I10" s="1">
        <v>25849596</v>
      </c>
      <c r="J10" s="1">
        <v>30828146</v>
      </c>
      <c r="K10" s="1">
        <v>38785083</v>
      </c>
      <c r="L10" s="1">
        <v>45228145</v>
      </c>
      <c r="M10" s="1">
        <v>57606340</v>
      </c>
      <c r="N10" s="1">
        <v>62364509</v>
      </c>
      <c r="O10" s="1">
        <v>76342000</v>
      </c>
      <c r="P10" s="1">
        <v>87310000</v>
      </c>
      <c r="Q10" s="1">
        <v>122194000</v>
      </c>
      <c r="R10" s="1">
        <v>137770000</v>
      </c>
      <c r="S10" s="1">
        <v>197455000</v>
      </c>
      <c r="T10" s="1">
        <v>326490000</v>
      </c>
      <c r="U10" s="1">
        <v>464528000</v>
      </c>
      <c r="V10" s="1">
        <v>661000000</v>
      </c>
      <c r="AB10" s="17">
        <f>V9</f>
        <v>0.10429913637657777</v>
      </c>
      <c r="AC10" s="20">
        <f>V13</f>
        <v>0.18572648761507071</v>
      </c>
      <c r="AD10" s="20">
        <f>V80</f>
        <v>9.4903672772136282E-5</v>
      </c>
      <c r="AE10" s="20">
        <f>V89</f>
        <v>4.3086267438549875E-2</v>
      </c>
    </row>
    <row r="11" spans="1:31" ht="19" x14ac:dyDescent="0.25">
      <c r="A11" s="5" t="s">
        <v>7</v>
      </c>
      <c r="B11" s="1" t="s">
        <v>91</v>
      </c>
      <c r="C11" s="1">
        <v>4900000</v>
      </c>
      <c r="D11" s="1" t="s">
        <v>91</v>
      </c>
      <c r="E11" s="1" t="s">
        <v>91</v>
      </c>
      <c r="F11" s="1" t="s">
        <v>91</v>
      </c>
      <c r="G11" s="1" t="s">
        <v>91</v>
      </c>
      <c r="H11" s="1">
        <v>39975307</v>
      </c>
      <c r="I11" s="1">
        <v>42861735</v>
      </c>
      <c r="J11" s="1">
        <v>48883167</v>
      </c>
      <c r="K11" s="1">
        <v>64968755</v>
      </c>
      <c r="L11" s="1">
        <v>72002954</v>
      </c>
      <c r="M11" s="1">
        <v>90484296</v>
      </c>
      <c r="N11" s="1">
        <v>111627304</v>
      </c>
      <c r="O11" s="1">
        <v>128609000</v>
      </c>
      <c r="P11" s="1">
        <v>156296000</v>
      </c>
      <c r="Q11" s="1">
        <v>325375000</v>
      </c>
      <c r="R11" s="1">
        <v>482447000</v>
      </c>
      <c r="S11" s="1">
        <v>834022000</v>
      </c>
      <c r="T11" s="1">
        <v>902554000</v>
      </c>
      <c r="U11" s="1">
        <v>1509493000</v>
      </c>
      <c r="V11" s="1">
        <v>1296000000</v>
      </c>
    </row>
    <row r="12" spans="1:31" ht="20" x14ac:dyDescent="0.25">
      <c r="A12" s="5" t="s">
        <v>8</v>
      </c>
      <c r="B12" s="1">
        <v>3300000</v>
      </c>
      <c r="C12" s="1">
        <v>4900000</v>
      </c>
      <c r="D12" s="1" t="s">
        <v>91</v>
      </c>
      <c r="E12" s="1">
        <v>19112863</v>
      </c>
      <c r="F12" s="1">
        <v>31509009</v>
      </c>
      <c r="G12" s="1">
        <v>40822205</v>
      </c>
      <c r="H12" s="1">
        <v>64655108</v>
      </c>
      <c r="I12" s="1">
        <v>68711331</v>
      </c>
      <c r="J12" s="1">
        <v>79711313</v>
      </c>
      <c r="K12" s="1">
        <v>103753838</v>
      </c>
      <c r="L12" s="1">
        <v>117231099</v>
      </c>
      <c r="M12" s="1">
        <v>148090636</v>
      </c>
      <c r="N12" s="1">
        <v>173991813</v>
      </c>
      <c r="O12" s="1">
        <v>204951000</v>
      </c>
      <c r="P12" s="1">
        <v>243606000</v>
      </c>
      <c r="Q12" s="1">
        <v>447569000</v>
      </c>
      <c r="R12" s="1">
        <v>620217000</v>
      </c>
      <c r="S12" s="1">
        <v>1031477000</v>
      </c>
      <c r="T12" s="1">
        <v>1229044000</v>
      </c>
      <c r="U12" s="1">
        <v>1974021000</v>
      </c>
      <c r="V12" s="1">
        <v>1957000000</v>
      </c>
      <c r="AB12" s="18" t="s">
        <v>116</v>
      </c>
      <c r="AC12" s="19" t="s">
        <v>117</v>
      </c>
      <c r="AD12" s="19" t="s">
        <v>118</v>
      </c>
      <c r="AE12" s="19" t="s">
        <v>119</v>
      </c>
    </row>
    <row r="13" spans="1:31" ht="19" x14ac:dyDescent="0.25">
      <c r="A13" s="14" t="s">
        <v>99</v>
      </c>
      <c r="B13" s="15">
        <f>B12/B3</f>
        <v>1.9411764705882353</v>
      </c>
      <c r="C13" s="15">
        <f t="shared" ref="C13:V13" si="2">C12/C3</f>
        <v>0.875</v>
      </c>
      <c r="D13" s="15" t="e">
        <f t="shared" si="2"/>
        <v>#VALUE!</v>
      </c>
      <c r="E13" s="15">
        <f t="shared" si="2"/>
        <v>0.67656925776531884</v>
      </c>
      <c r="F13" s="15">
        <f t="shared" si="2"/>
        <v>0.60525702718594265</v>
      </c>
      <c r="G13" s="15">
        <f t="shared" si="2"/>
        <v>0.4795484514011944</v>
      </c>
      <c r="H13" s="15">
        <f t="shared" si="2"/>
        <v>0.47185718679149474</v>
      </c>
      <c r="I13" s="15">
        <f t="shared" si="2"/>
        <v>0.39753466516418329</v>
      </c>
      <c r="J13" s="15">
        <f t="shared" si="2"/>
        <v>0.36781510623551322</v>
      </c>
      <c r="K13" s="15">
        <f t="shared" si="2"/>
        <v>0.34708217305546041</v>
      </c>
      <c r="L13" s="15">
        <f t="shared" si="2"/>
        <v>0.31378648341272425</v>
      </c>
      <c r="M13" s="15">
        <f t="shared" si="2"/>
        <v>0.31335652553824933</v>
      </c>
      <c r="N13" s="15">
        <f t="shared" si="2"/>
        <v>0.31263352662672844</v>
      </c>
      <c r="O13" s="15">
        <f t="shared" si="2"/>
        <v>0.31444330229061507</v>
      </c>
      <c r="P13" s="15">
        <f t="shared" si="2"/>
        <v>0.28849734011056422</v>
      </c>
      <c r="Q13" s="15">
        <f t="shared" si="2"/>
        <v>0.32012774525336263</v>
      </c>
      <c r="R13" s="15">
        <f t="shared" si="2"/>
        <v>0.43081006325829907</v>
      </c>
      <c r="S13" s="15">
        <f t="shared" si="2"/>
        <v>0.44918813367858229</v>
      </c>
      <c r="T13" s="15">
        <f t="shared" si="2"/>
        <v>0.30931290448009485</v>
      </c>
      <c r="U13" s="15">
        <f t="shared" si="2"/>
        <v>0.27923423301721545</v>
      </c>
      <c r="V13" s="15">
        <f t="shared" si="2"/>
        <v>0.18572648761507071</v>
      </c>
      <c r="AB13" s="17">
        <f>V28/V72</f>
        <v>0.26382047071702242</v>
      </c>
      <c r="AC13" s="20">
        <f>V28/V54</f>
        <v>3.5090273733255677E-2</v>
      </c>
      <c r="AD13" s="20">
        <f>V22/(V72+V56+V61)</f>
        <v>0.41643173580346354</v>
      </c>
      <c r="AE13" s="21">
        <f>V67/V72</f>
        <v>6.518336070060208</v>
      </c>
    </row>
    <row r="14" spans="1:31" ht="19" x14ac:dyDescent="0.25">
      <c r="A14" s="5" t="s">
        <v>9</v>
      </c>
      <c r="B14" s="1" t="s">
        <v>91</v>
      </c>
      <c r="C14" s="1">
        <v>2100000</v>
      </c>
      <c r="D14" s="1" t="s">
        <v>91</v>
      </c>
      <c r="E14" s="1" t="s">
        <v>91</v>
      </c>
      <c r="F14" s="1" t="s">
        <v>91</v>
      </c>
      <c r="G14" s="1" t="s">
        <v>91</v>
      </c>
      <c r="H14" s="1" t="s">
        <v>91</v>
      </c>
      <c r="I14" s="1" t="s">
        <v>91</v>
      </c>
      <c r="J14" s="1" t="s">
        <v>91</v>
      </c>
      <c r="K14" s="1" t="s">
        <v>91</v>
      </c>
      <c r="L14" s="1" t="s">
        <v>91</v>
      </c>
      <c r="M14" s="1" t="s">
        <v>91</v>
      </c>
      <c r="N14" s="1" t="s">
        <v>91</v>
      </c>
      <c r="O14" s="1" t="s">
        <v>91</v>
      </c>
      <c r="P14" s="1" t="s">
        <v>91</v>
      </c>
      <c r="Q14" s="1" t="s">
        <v>91</v>
      </c>
      <c r="R14" s="1" t="s">
        <v>91</v>
      </c>
      <c r="S14" s="1" t="s">
        <v>91</v>
      </c>
      <c r="T14" s="1" t="s">
        <v>91</v>
      </c>
      <c r="U14" s="1" t="s">
        <v>91</v>
      </c>
      <c r="V14" s="1" t="s">
        <v>91</v>
      </c>
    </row>
    <row r="15" spans="1:31" ht="20" x14ac:dyDescent="0.25">
      <c r="A15" s="5" t="s">
        <v>10</v>
      </c>
      <c r="B15" s="1">
        <v>4000000</v>
      </c>
      <c r="C15" s="1">
        <v>8000000</v>
      </c>
      <c r="D15" s="1" t="s">
        <v>91</v>
      </c>
      <c r="E15" s="1">
        <v>21299083</v>
      </c>
      <c r="F15" s="1">
        <v>34575313</v>
      </c>
      <c r="G15" s="1">
        <v>45191581</v>
      </c>
      <c r="H15" s="1">
        <v>71962116</v>
      </c>
      <c r="I15" s="1">
        <v>80851852</v>
      </c>
      <c r="J15" s="1">
        <v>95567305</v>
      </c>
      <c r="K15" s="1">
        <v>127103625</v>
      </c>
      <c r="L15" s="1">
        <v>145857979</v>
      </c>
      <c r="M15" s="1">
        <v>188978775</v>
      </c>
      <c r="N15" s="1">
        <v>227591452</v>
      </c>
      <c r="O15" s="1">
        <v>281374000</v>
      </c>
      <c r="P15" s="1">
        <v>342085000</v>
      </c>
      <c r="Q15" s="1">
        <v>574729000</v>
      </c>
      <c r="R15" s="1">
        <v>766490000</v>
      </c>
      <c r="S15" s="1">
        <v>1255284000</v>
      </c>
      <c r="T15" s="1">
        <v>1581518000</v>
      </c>
      <c r="U15" s="1">
        <v>2564349000</v>
      </c>
      <c r="V15" s="1">
        <v>3056000000</v>
      </c>
      <c r="AB15" s="18" t="s">
        <v>120</v>
      </c>
      <c r="AC15" s="19" t="s">
        <v>121</v>
      </c>
      <c r="AD15" s="19" t="s">
        <v>122</v>
      </c>
      <c r="AE15" s="19" t="s">
        <v>123</v>
      </c>
    </row>
    <row r="16" spans="1:31" ht="19" x14ac:dyDescent="0.25">
      <c r="A16" s="5" t="s">
        <v>11</v>
      </c>
      <c r="B16" s="1">
        <v>4700000</v>
      </c>
      <c r="C16" s="1">
        <v>9100000</v>
      </c>
      <c r="D16" s="1" t="s">
        <v>91</v>
      </c>
      <c r="E16" s="1">
        <v>27437815</v>
      </c>
      <c r="F16" s="1">
        <v>46660961</v>
      </c>
      <c r="G16" s="1">
        <v>64192641</v>
      </c>
      <c r="H16" s="1">
        <v>99498689</v>
      </c>
      <c r="I16" s="1">
        <v>116809902</v>
      </c>
      <c r="J16" s="1">
        <v>142117150</v>
      </c>
      <c r="K16" s="1">
        <v>199159460</v>
      </c>
      <c r="L16" s="1">
        <v>243943623</v>
      </c>
      <c r="M16" s="1">
        <v>319055654</v>
      </c>
      <c r="N16" s="1">
        <v>386569453</v>
      </c>
      <c r="O16" s="1">
        <v>496368000</v>
      </c>
      <c r="P16" s="1">
        <v>649623000</v>
      </c>
      <c r="Q16" s="1">
        <v>1253224000</v>
      </c>
      <c r="R16" s="1">
        <v>1509135000</v>
      </c>
      <c r="S16" s="1">
        <v>2449475000</v>
      </c>
      <c r="T16" s="1">
        <v>3845773000</v>
      </c>
      <c r="U16" s="1">
        <v>6628706000</v>
      </c>
      <c r="V16" s="1">
        <v>7335000000</v>
      </c>
      <c r="AB16" s="25">
        <f>(V35+U35+T35+S35+R35)/5</f>
        <v>2.4111484784167882E-2</v>
      </c>
      <c r="AC16" s="32">
        <f>AD102/V3</f>
        <v>5.7069137325614498</v>
      </c>
      <c r="AD16" s="32">
        <f>AD102/V28</f>
        <v>124.75881742738589</v>
      </c>
      <c r="AE16" s="33">
        <f>AD102/V107</f>
        <v>24.188958165728078</v>
      </c>
    </row>
    <row r="17" spans="1:31" ht="19" x14ac:dyDescent="0.25">
      <c r="A17" s="5" t="s">
        <v>12</v>
      </c>
      <c r="B17" s="1" t="s">
        <v>91</v>
      </c>
      <c r="C17" s="1" t="s">
        <v>91</v>
      </c>
      <c r="D17" s="1" t="s">
        <v>91</v>
      </c>
      <c r="E17" s="1" t="s">
        <v>91</v>
      </c>
      <c r="F17" s="1" t="s">
        <v>91</v>
      </c>
      <c r="G17" s="1" t="s">
        <v>91</v>
      </c>
      <c r="H17" s="1">
        <v>8442427</v>
      </c>
      <c r="I17" s="1">
        <v>13357554</v>
      </c>
      <c r="J17" s="1">
        <v>7601671</v>
      </c>
      <c r="K17" s="1">
        <v>3648733</v>
      </c>
      <c r="L17" s="1">
        <v>1138379</v>
      </c>
      <c r="M17" s="1">
        <v>2355929</v>
      </c>
      <c r="N17" s="1">
        <v>11659356</v>
      </c>
      <c r="O17" s="1">
        <v>20391000</v>
      </c>
      <c r="P17" s="1">
        <v>25605000</v>
      </c>
      <c r="Q17" s="1">
        <v>26469000</v>
      </c>
      <c r="R17" s="1">
        <v>56249000</v>
      </c>
      <c r="S17" s="1">
        <v>65876000</v>
      </c>
      <c r="T17" s="1">
        <v>106690000</v>
      </c>
      <c r="U17" s="1">
        <v>228704000</v>
      </c>
      <c r="V17" s="1">
        <v>321000000</v>
      </c>
    </row>
    <row r="18" spans="1:31" ht="20" x14ac:dyDescent="0.25">
      <c r="A18" s="5" t="s">
        <v>13</v>
      </c>
      <c r="B18" s="1">
        <v>600000</v>
      </c>
      <c r="C18" s="1">
        <v>800000</v>
      </c>
      <c r="D18" s="1" t="s">
        <v>91</v>
      </c>
      <c r="E18" s="1">
        <v>1572497</v>
      </c>
      <c r="F18" s="1">
        <v>2016939</v>
      </c>
      <c r="G18" s="1">
        <v>2307649</v>
      </c>
      <c r="H18" s="1">
        <v>3335673</v>
      </c>
      <c r="I18" s="1">
        <v>3893752</v>
      </c>
      <c r="J18" s="1">
        <v>4921650</v>
      </c>
      <c r="K18" s="1">
        <v>7268075</v>
      </c>
      <c r="L18" s="1">
        <v>8959293</v>
      </c>
      <c r="M18" s="1">
        <v>11878565</v>
      </c>
      <c r="N18" s="1">
        <v>16946897</v>
      </c>
      <c r="O18" s="1">
        <v>23209000</v>
      </c>
      <c r="P18" s="1">
        <v>29022000</v>
      </c>
      <c r="Q18" s="1">
        <v>40921000</v>
      </c>
      <c r="R18" s="1">
        <v>45792000</v>
      </c>
      <c r="S18" s="1">
        <v>73320000</v>
      </c>
      <c r="T18" s="1">
        <v>104992000</v>
      </c>
      <c r="U18" s="1">
        <v>203942000</v>
      </c>
      <c r="V18" s="1">
        <v>403000000</v>
      </c>
      <c r="AB18" s="18" t="s">
        <v>124</v>
      </c>
      <c r="AC18" s="19" t="s">
        <v>158</v>
      </c>
      <c r="AD18" s="19" t="s">
        <v>159</v>
      </c>
      <c r="AE18" s="19" t="s">
        <v>160</v>
      </c>
    </row>
    <row r="19" spans="1:31" ht="19" x14ac:dyDescent="0.25">
      <c r="A19" s="6" t="s">
        <v>14</v>
      </c>
      <c r="B19" s="10">
        <v>-1900000</v>
      </c>
      <c r="C19" s="10">
        <v>-2400000</v>
      </c>
      <c r="D19" s="10">
        <v>-2206018</v>
      </c>
      <c r="E19" s="10">
        <v>2557271</v>
      </c>
      <c r="F19" s="10">
        <v>4331860</v>
      </c>
      <c r="G19" s="10">
        <v>16728040</v>
      </c>
      <c r="H19" s="10">
        <v>41224004</v>
      </c>
      <c r="I19" s="10">
        <v>59964104</v>
      </c>
      <c r="J19" s="10">
        <v>84388981</v>
      </c>
      <c r="K19" s="10">
        <v>119356682</v>
      </c>
      <c r="L19" s="10">
        <v>150216349</v>
      </c>
      <c r="M19" s="10">
        <v>177325113</v>
      </c>
      <c r="N19" s="10">
        <v>150329854</v>
      </c>
      <c r="O19" s="10">
        <v>194091000</v>
      </c>
      <c r="P19" s="10">
        <v>239955000</v>
      </c>
      <c r="Q19" s="10">
        <v>121460000</v>
      </c>
      <c r="R19" s="10">
        <v>36589000</v>
      </c>
      <c r="S19" s="10">
        <v>31950000</v>
      </c>
      <c r="T19" s="10">
        <v>292997000</v>
      </c>
      <c r="U19" s="10">
        <v>664752000</v>
      </c>
      <c r="V19" s="10">
        <v>1504000000</v>
      </c>
      <c r="W19" s="27">
        <v>2424000000</v>
      </c>
      <c r="X19" s="27">
        <v>2934000000</v>
      </c>
      <c r="Y19" s="27">
        <v>3740000000</v>
      </c>
      <c r="Z19" s="27">
        <v>4838000000</v>
      </c>
      <c r="AA19" s="27">
        <v>5581000000</v>
      </c>
      <c r="AB19" s="26">
        <f>V40-V56-V61</f>
        <v>3593000000</v>
      </c>
      <c r="AC19" s="32">
        <f>AD102/W3</f>
        <v>4.3355263157894735</v>
      </c>
      <c r="AD19" s="32">
        <f>AD102/W28</f>
        <v>57.107075023741693</v>
      </c>
      <c r="AE19" s="33">
        <f>AD102/W105</f>
        <v>18.247452544948871</v>
      </c>
    </row>
    <row r="20" spans="1:31" ht="19" customHeight="1" x14ac:dyDescent="0.25">
      <c r="A20" s="14" t="s">
        <v>100</v>
      </c>
      <c r="B20" s="1"/>
      <c r="C20" s="15">
        <f>(C19/B19)-1</f>
        <v>0.26315789473684204</v>
      </c>
      <c r="D20" s="15">
        <f>(D19/C19)-1</f>
        <v>-8.0825833333333374E-2</v>
      </c>
      <c r="E20" s="15">
        <f>(E19/D19)-1</f>
        <v>-2.1592249020633556</v>
      </c>
      <c r="F20" s="15">
        <f t="shared" ref="F20:V20" si="3">(F19/E19)-1</f>
        <v>0.6939385774913962</v>
      </c>
      <c r="G20" s="15">
        <f t="shared" si="3"/>
        <v>2.8616298772351829</v>
      </c>
      <c r="H20" s="15">
        <f t="shared" si="3"/>
        <v>1.4643654606277843</v>
      </c>
      <c r="I20" s="15">
        <f t="shared" si="3"/>
        <v>0.45459194114186485</v>
      </c>
      <c r="J20" s="15">
        <f t="shared" si="3"/>
        <v>0.40732497228675335</v>
      </c>
      <c r="K20" s="15">
        <f t="shared" si="3"/>
        <v>0.4143633515375662</v>
      </c>
      <c r="L20" s="15">
        <f t="shared" si="3"/>
        <v>0.25854997376686462</v>
      </c>
      <c r="M20" s="15">
        <f t="shared" si="3"/>
        <v>0.18046480413393629</v>
      </c>
      <c r="N20" s="15">
        <f t="shared" si="3"/>
        <v>-0.152235961073376</v>
      </c>
      <c r="O20" s="15">
        <f t="shared" si="3"/>
        <v>0.2911008348348425</v>
      </c>
      <c r="P20" s="15">
        <f t="shared" si="3"/>
        <v>0.23630152866438947</v>
      </c>
      <c r="Q20" s="15">
        <f t="shared" si="3"/>
        <v>-0.49382175824633789</v>
      </c>
      <c r="R20" s="15">
        <f t="shared" si="3"/>
        <v>-0.69875679235962451</v>
      </c>
      <c r="S20" s="15">
        <f t="shared" si="3"/>
        <v>-0.1267867391839077</v>
      </c>
      <c r="T20" s="15">
        <f t="shared" si="3"/>
        <v>8.1704851330203443</v>
      </c>
      <c r="U20" s="15">
        <f t="shared" si="3"/>
        <v>1.2688013870449186</v>
      </c>
      <c r="V20" s="15">
        <f t="shared" si="3"/>
        <v>1.2624978939514286</v>
      </c>
      <c r="W20" s="16">
        <f t="shared" ref="W20" si="4">(W19/V19)-1</f>
        <v>0.61170212765957444</v>
      </c>
      <c r="X20" s="16">
        <f t="shared" ref="X20" si="5">(X19/W19)-1</f>
        <v>0.21039603960396036</v>
      </c>
      <c r="Y20" s="16">
        <f t="shared" ref="Y20" si="6">(Y19/X19)-1</f>
        <v>0.27471029311520101</v>
      </c>
      <c r="Z20" s="16">
        <f t="shared" ref="Z20" si="7">(Z19/Y19)-1</f>
        <v>0.29358288770053487</v>
      </c>
      <c r="AA20" s="16">
        <f t="shared" ref="AA20" si="8">(AA19/Z19)-1</f>
        <v>0.15357585779247618</v>
      </c>
    </row>
    <row r="21" spans="1:31" ht="20" x14ac:dyDescent="0.25">
      <c r="A21" s="5" t="s">
        <v>15</v>
      </c>
      <c r="B21" s="2">
        <v>-1.1175999999999999</v>
      </c>
      <c r="C21" s="2">
        <v>-0.42859999999999998</v>
      </c>
      <c r="D21" s="2">
        <v>-0.17419999999999999</v>
      </c>
      <c r="E21" s="2">
        <v>9.0499999999999997E-2</v>
      </c>
      <c r="F21" s="2">
        <v>8.3199999999999996E-2</v>
      </c>
      <c r="G21" s="2">
        <v>0.19650000000000001</v>
      </c>
      <c r="H21" s="2">
        <v>0.3009</v>
      </c>
      <c r="I21" s="2">
        <v>0.34689999999999999</v>
      </c>
      <c r="J21" s="2">
        <v>0.38940000000000002</v>
      </c>
      <c r="K21" s="2">
        <v>0.39929999999999999</v>
      </c>
      <c r="L21" s="2">
        <v>0.40210000000000001</v>
      </c>
      <c r="M21" s="2">
        <v>0.37519999999999998</v>
      </c>
      <c r="N21" s="2">
        <v>0.27010000000000001</v>
      </c>
      <c r="O21" s="2">
        <v>0.29780000000000001</v>
      </c>
      <c r="P21" s="2">
        <v>0.28420000000000001</v>
      </c>
      <c r="Q21" s="2">
        <v>8.6900000000000005E-2</v>
      </c>
      <c r="R21" s="2">
        <v>2.5399999999999999E-2</v>
      </c>
      <c r="S21" s="2">
        <v>1.3899999999999999E-2</v>
      </c>
      <c r="T21" s="2">
        <v>7.3700000000000002E-2</v>
      </c>
      <c r="U21" s="2">
        <v>9.4E-2</v>
      </c>
      <c r="V21" s="2">
        <f>V19/V3</f>
        <v>0.14273512384929296</v>
      </c>
      <c r="W21" s="31">
        <f t="shared" ref="W21:AA21" si="9">W19/W3</f>
        <v>0.17476568132660419</v>
      </c>
      <c r="X21" s="31">
        <f t="shared" si="9"/>
        <v>0.17405232247730912</v>
      </c>
      <c r="Y21" s="31">
        <f t="shared" si="9"/>
        <v>0.18478260869565216</v>
      </c>
      <c r="Z21" s="31">
        <f t="shared" si="9"/>
        <v>0.20108063175394847</v>
      </c>
      <c r="AA21" s="31">
        <f t="shared" si="9"/>
        <v>0.21187502372726927</v>
      </c>
      <c r="AC21" s="43" t="s">
        <v>168</v>
      </c>
      <c r="AD21" s="18" t="s">
        <v>165</v>
      </c>
      <c r="AE21" s="19" t="s">
        <v>167</v>
      </c>
    </row>
    <row r="22" spans="1:31" ht="19" x14ac:dyDescent="0.25">
      <c r="A22" s="6" t="s">
        <v>16</v>
      </c>
      <c r="B22" s="10">
        <v>-2900000</v>
      </c>
      <c r="C22" s="10">
        <v>-3500000</v>
      </c>
      <c r="D22" s="10">
        <v>12663332</v>
      </c>
      <c r="E22" s="10">
        <v>811862</v>
      </c>
      <c r="F22" s="10">
        <v>5397929</v>
      </c>
      <c r="G22" s="10">
        <v>20933700</v>
      </c>
      <c r="H22" s="10">
        <v>37523931</v>
      </c>
      <c r="I22" s="10">
        <v>56033719</v>
      </c>
      <c r="J22" s="10">
        <v>74598563</v>
      </c>
      <c r="K22" s="10">
        <v>99772165</v>
      </c>
      <c r="L22" s="10">
        <v>129657871</v>
      </c>
      <c r="M22" s="10">
        <v>153539055</v>
      </c>
      <c r="N22" s="10">
        <v>120470863</v>
      </c>
      <c r="O22" s="10">
        <v>139196000</v>
      </c>
      <c r="P22" s="10">
        <v>181056000</v>
      </c>
      <c r="Q22" s="10">
        <v>56273000</v>
      </c>
      <c r="R22" s="10">
        <v>-69482000</v>
      </c>
      <c r="S22" s="10">
        <v>-153161000</v>
      </c>
      <c r="T22" s="10">
        <v>127692000</v>
      </c>
      <c r="U22" s="10">
        <v>440703000</v>
      </c>
      <c r="V22" s="10">
        <v>1034000000</v>
      </c>
      <c r="AC22" s="17">
        <f>SUM(W29:AA29)/5</f>
        <v>0.53464431989700145</v>
      </c>
      <c r="AD22" s="35">
        <f>(-1*V98)/AD102</f>
        <v>0</v>
      </c>
      <c r="AE22" s="36">
        <f>W107/AD102</f>
        <v>1.0129087243020767E-2</v>
      </c>
    </row>
    <row r="23" spans="1:31" ht="19" x14ac:dyDescent="0.25">
      <c r="A23" s="5" t="s">
        <v>17</v>
      </c>
      <c r="B23" s="2">
        <v>-1.7059</v>
      </c>
      <c r="C23" s="2">
        <v>-0.625</v>
      </c>
      <c r="D23" s="2">
        <v>1</v>
      </c>
      <c r="E23" s="2">
        <v>2.87E-2</v>
      </c>
      <c r="F23" s="2">
        <v>0.1037</v>
      </c>
      <c r="G23" s="2">
        <v>0.24590000000000001</v>
      </c>
      <c r="H23" s="2">
        <v>0.27389999999999998</v>
      </c>
      <c r="I23" s="2">
        <v>0.32419999999999999</v>
      </c>
      <c r="J23" s="2">
        <v>0.34420000000000001</v>
      </c>
      <c r="K23" s="2">
        <v>0.33379999999999999</v>
      </c>
      <c r="L23" s="2">
        <v>0.34699999999999998</v>
      </c>
      <c r="M23" s="2">
        <v>0.32490000000000002</v>
      </c>
      <c r="N23" s="2">
        <v>0.2165</v>
      </c>
      <c r="O23" s="2">
        <v>0.21360000000000001</v>
      </c>
      <c r="P23" s="2">
        <v>0.21440000000000001</v>
      </c>
      <c r="Q23" s="2">
        <v>4.02E-2</v>
      </c>
      <c r="R23" s="2">
        <v>-4.8300000000000003E-2</v>
      </c>
      <c r="S23" s="2">
        <v>-6.6699999999999995E-2</v>
      </c>
      <c r="T23" s="2">
        <v>3.2099999999999997E-2</v>
      </c>
      <c r="U23" s="2">
        <v>6.2300000000000001E-2</v>
      </c>
      <c r="V23" s="2">
        <f>V22/V3</f>
        <v>9.8130397646388909E-2</v>
      </c>
    </row>
    <row r="24" spans="1:31" ht="19" x14ac:dyDescent="0.25">
      <c r="A24" s="5" t="s">
        <v>18</v>
      </c>
      <c r="B24" s="1">
        <v>200000</v>
      </c>
      <c r="C24" s="1">
        <v>300000</v>
      </c>
      <c r="D24" s="1" t="s">
        <v>91</v>
      </c>
      <c r="E24" s="1">
        <v>-146392</v>
      </c>
      <c r="F24" s="1">
        <v>-3083008</v>
      </c>
      <c r="G24" s="1">
        <v>-6513309</v>
      </c>
      <c r="H24" s="1">
        <v>-8078027</v>
      </c>
      <c r="I24" s="1">
        <v>-13320921</v>
      </c>
      <c r="J24" s="1">
        <v>-2732903</v>
      </c>
      <c r="K24" s="1">
        <v>8683995</v>
      </c>
      <c r="L24" s="1">
        <v>10559655</v>
      </c>
      <c r="M24" s="1">
        <v>9570389</v>
      </c>
      <c r="N24" s="1">
        <v>1324958</v>
      </c>
      <c r="O24" s="1">
        <v>11295000</v>
      </c>
      <c r="P24" s="1">
        <v>4272000</v>
      </c>
      <c r="Q24" s="1">
        <v>-2203000</v>
      </c>
      <c r="R24" s="1">
        <v>4030000</v>
      </c>
      <c r="S24" s="1">
        <v>45915000</v>
      </c>
      <c r="T24" s="1">
        <v>-46377000</v>
      </c>
      <c r="U24" s="1">
        <v>-200075000</v>
      </c>
      <c r="V24" s="1">
        <v>-254000000</v>
      </c>
    </row>
    <row r="25" spans="1:31" ht="19" x14ac:dyDescent="0.25">
      <c r="A25" s="6" t="s">
        <v>19</v>
      </c>
      <c r="B25" s="10">
        <v>-2700000</v>
      </c>
      <c r="C25" s="10">
        <v>-3200000</v>
      </c>
      <c r="D25" s="10" t="s">
        <v>91</v>
      </c>
      <c r="E25" s="10">
        <v>665470</v>
      </c>
      <c r="F25" s="10">
        <v>2314921</v>
      </c>
      <c r="G25" s="10">
        <v>14420391</v>
      </c>
      <c r="H25" s="10">
        <v>29445904</v>
      </c>
      <c r="I25" s="10">
        <v>42712798</v>
      </c>
      <c r="J25" s="10">
        <v>71865660</v>
      </c>
      <c r="K25" s="10">
        <v>108456160</v>
      </c>
      <c r="L25" s="10">
        <v>140217526</v>
      </c>
      <c r="M25" s="10">
        <v>163109444</v>
      </c>
      <c r="N25" s="10">
        <v>121795821</v>
      </c>
      <c r="O25" s="10">
        <v>150491000</v>
      </c>
      <c r="P25" s="10">
        <v>185328000</v>
      </c>
      <c r="Q25" s="10">
        <v>54070000</v>
      </c>
      <c r="R25" s="10">
        <v>-65452000</v>
      </c>
      <c r="S25" s="10">
        <v>-107246000</v>
      </c>
      <c r="T25" s="10">
        <v>81315000</v>
      </c>
      <c r="U25" s="10">
        <v>240628000</v>
      </c>
      <c r="V25" s="10">
        <v>780000000</v>
      </c>
    </row>
    <row r="26" spans="1:31" ht="19" x14ac:dyDescent="0.25">
      <c r="A26" s="5" t="s">
        <v>20</v>
      </c>
      <c r="B26" s="2">
        <v>-1.5882000000000001</v>
      </c>
      <c r="C26" s="2">
        <v>-0.57140000000000002</v>
      </c>
      <c r="D26" s="2" t="s">
        <v>91</v>
      </c>
      <c r="E26" s="2">
        <v>2.3599999999999999E-2</v>
      </c>
      <c r="F26" s="2">
        <v>4.4499999999999998E-2</v>
      </c>
      <c r="G26" s="2">
        <v>0.1694</v>
      </c>
      <c r="H26" s="2">
        <v>0.21490000000000001</v>
      </c>
      <c r="I26" s="2">
        <v>0.24709999999999999</v>
      </c>
      <c r="J26" s="2">
        <v>0.33160000000000001</v>
      </c>
      <c r="K26" s="2">
        <v>0.36280000000000001</v>
      </c>
      <c r="L26" s="2">
        <v>0.37530000000000002</v>
      </c>
      <c r="M26" s="2">
        <v>0.34510000000000002</v>
      </c>
      <c r="N26" s="2">
        <v>0.21879999999999999</v>
      </c>
      <c r="O26" s="2">
        <v>0.23089999999999999</v>
      </c>
      <c r="P26" s="2">
        <v>0.2195</v>
      </c>
      <c r="Q26" s="2">
        <v>3.8699999999999998E-2</v>
      </c>
      <c r="R26" s="2">
        <v>-4.5499999999999999E-2</v>
      </c>
      <c r="S26" s="2">
        <v>-4.6699999999999998E-2</v>
      </c>
      <c r="T26" s="2">
        <v>2.0500000000000001E-2</v>
      </c>
      <c r="U26" s="2">
        <v>3.4000000000000002E-2</v>
      </c>
      <c r="V26" s="2">
        <v>8.2600000000000007E-2</v>
      </c>
    </row>
    <row r="27" spans="1:31" ht="19" x14ac:dyDescent="0.25">
      <c r="A27" s="5" t="s">
        <v>21</v>
      </c>
      <c r="B27" s="1" t="s">
        <v>91</v>
      </c>
      <c r="C27" s="1" t="s">
        <v>91</v>
      </c>
      <c r="D27" s="1" t="s">
        <v>91</v>
      </c>
      <c r="E27" s="1">
        <v>-1369362</v>
      </c>
      <c r="F27" s="1">
        <v>1242838</v>
      </c>
      <c r="G27" s="1">
        <v>4727451</v>
      </c>
      <c r="H27" s="1">
        <v>10634243</v>
      </c>
      <c r="I27" s="1">
        <v>9504005</v>
      </c>
      <c r="J27" s="1">
        <v>15840641</v>
      </c>
      <c r="K27" s="1">
        <v>31659821</v>
      </c>
      <c r="L27" s="1">
        <v>38871379</v>
      </c>
      <c r="M27" s="1">
        <v>45583181</v>
      </c>
      <c r="N27" s="1">
        <v>49143050</v>
      </c>
      <c r="O27" s="1">
        <v>44702000</v>
      </c>
      <c r="P27" s="1">
        <v>48962000</v>
      </c>
      <c r="Q27" s="1">
        <v>40290000</v>
      </c>
      <c r="R27" s="1">
        <v>-28867000</v>
      </c>
      <c r="S27" s="1">
        <v>64753000</v>
      </c>
      <c r="T27" s="1">
        <v>82022000</v>
      </c>
      <c r="U27" s="1">
        <v>148802000</v>
      </c>
      <c r="V27" s="1">
        <v>298000000</v>
      </c>
    </row>
    <row r="28" spans="1:31" ht="20" thickBot="1" x14ac:dyDescent="0.3">
      <c r="A28" s="7" t="s">
        <v>22</v>
      </c>
      <c r="B28" s="11">
        <v>-2500000</v>
      </c>
      <c r="C28" s="11">
        <v>-3200000</v>
      </c>
      <c r="D28" s="11">
        <v>-2206018</v>
      </c>
      <c r="E28" s="11">
        <v>2354136</v>
      </c>
      <c r="F28" s="11">
        <v>1072083</v>
      </c>
      <c r="G28" s="11">
        <v>9692940</v>
      </c>
      <c r="H28" s="11">
        <v>18811661</v>
      </c>
      <c r="I28" s="11">
        <v>33208793</v>
      </c>
      <c r="J28" s="11">
        <v>56025019</v>
      </c>
      <c r="K28" s="11">
        <v>76780053</v>
      </c>
      <c r="L28" s="11">
        <v>101247298</v>
      </c>
      <c r="M28" s="11">
        <v>117507438</v>
      </c>
      <c r="N28" s="11">
        <v>72580551</v>
      </c>
      <c r="O28" s="11">
        <v>105789000</v>
      </c>
      <c r="P28" s="11">
        <v>136366000</v>
      </c>
      <c r="Q28" s="11">
        <v>13780000</v>
      </c>
      <c r="R28" s="11">
        <v>-36585000</v>
      </c>
      <c r="S28" s="11">
        <v>-171999000</v>
      </c>
      <c r="T28" s="11">
        <v>-707000</v>
      </c>
      <c r="U28" s="11">
        <v>83304000</v>
      </c>
      <c r="V28" s="11">
        <v>482000000</v>
      </c>
      <c r="W28" s="29">
        <v>1053000000</v>
      </c>
      <c r="X28" s="29">
        <v>1458000000</v>
      </c>
      <c r="Y28" s="29">
        <v>1923000000</v>
      </c>
      <c r="Z28" s="29">
        <v>2719000000</v>
      </c>
      <c r="AA28" s="29">
        <v>3728000000</v>
      </c>
    </row>
    <row r="29" spans="1:31" ht="20" customHeight="1" thickTop="1" x14ac:dyDescent="0.25">
      <c r="A29" s="14" t="s">
        <v>101</v>
      </c>
      <c r="B29" s="1"/>
      <c r="C29" s="15">
        <f>(C28/B28)-1</f>
        <v>0.28000000000000003</v>
      </c>
      <c r="D29" s="15">
        <f>(D28/C28)-1</f>
        <v>-0.31061937500000003</v>
      </c>
      <c r="E29" s="15">
        <f>(E28/D28)-1</f>
        <v>-2.0671426978383676</v>
      </c>
      <c r="F29" s="15">
        <f t="shared" ref="F29:V29" si="10">(F28/E28)-1</f>
        <v>-0.5445959791617816</v>
      </c>
      <c r="G29" s="15">
        <f t="shared" si="10"/>
        <v>8.041221621833385</v>
      </c>
      <c r="H29" s="15">
        <f t="shared" si="10"/>
        <v>0.94075904730659632</v>
      </c>
      <c r="I29" s="15">
        <f t="shared" si="10"/>
        <v>0.76533018535683794</v>
      </c>
      <c r="J29" s="15">
        <f t="shared" si="10"/>
        <v>0.68705375711788141</v>
      </c>
      <c r="K29" s="15">
        <f t="shared" si="10"/>
        <v>0.37046009747894959</v>
      </c>
      <c r="L29" s="15">
        <f t="shared" si="10"/>
        <v>0.31866668547363464</v>
      </c>
      <c r="M29" s="15">
        <f t="shared" si="10"/>
        <v>0.16059826110124931</v>
      </c>
      <c r="N29" s="15">
        <f t="shared" si="10"/>
        <v>-0.38233228265941765</v>
      </c>
      <c r="O29" s="15">
        <f t="shared" si="10"/>
        <v>0.45753922424755356</v>
      </c>
      <c r="P29" s="15">
        <f t="shared" si="10"/>
        <v>0.28903761260622551</v>
      </c>
      <c r="Q29" s="15">
        <f t="shared" si="10"/>
        <v>-0.89894841822741745</v>
      </c>
      <c r="R29" s="15">
        <f t="shared" si="10"/>
        <v>-3.6549346879535558</v>
      </c>
      <c r="S29" s="15">
        <f t="shared" si="10"/>
        <v>3.7013530135301353</v>
      </c>
      <c r="T29" s="15">
        <f t="shared" si="10"/>
        <v>-0.99588951098552903</v>
      </c>
      <c r="U29" s="15">
        <f t="shared" si="10"/>
        <v>-118.82743988684582</v>
      </c>
      <c r="V29" s="15">
        <f t="shared" si="10"/>
        <v>4.7860366849130891</v>
      </c>
      <c r="W29" s="16">
        <f t="shared" ref="W29" si="11">(W28/V28)-1</f>
        <v>1.1846473029045641</v>
      </c>
      <c r="X29" s="16">
        <f t="shared" ref="X29" si="12">(X28/W28)-1</f>
        <v>0.38461538461538458</v>
      </c>
      <c r="Y29" s="16">
        <f t="shared" ref="Y29" si="13">(Y28/X28)-1</f>
        <v>0.31893004115226331</v>
      </c>
      <c r="Z29" s="16">
        <f t="shared" ref="Z29" si="14">(Z28/Y28)-1</f>
        <v>0.4139365574622984</v>
      </c>
      <c r="AA29" s="16">
        <f t="shared" ref="AA29" si="15">(AA28/Z28)-1</f>
        <v>0.37109231335049642</v>
      </c>
    </row>
    <row r="30" spans="1:31" ht="19" x14ac:dyDescent="0.25">
      <c r="A30" s="5" t="s">
        <v>23</v>
      </c>
      <c r="B30" s="2">
        <v>-1.4705999999999999</v>
      </c>
      <c r="C30" s="2">
        <v>-0.57140000000000002</v>
      </c>
      <c r="D30" s="2">
        <v>-0.17419999999999999</v>
      </c>
      <c r="E30" s="2">
        <v>8.3299999999999999E-2</v>
      </c>
      <c r="F30" s="2">
        <v>2.06E-2</v>
      </c>
      <c r="G30" s="2">
        <v>0.1139</v>
      </c>
      <c r="H30" s="2">
        <v>0.13730000000000001</v>
      </c>
      <c r="I30" s="2">
        <v>0.19209999999999999</v>
      </c>
      <c r="J30" s="2">
        <v>0.25850000000000001</v>
      </c>
      <c r="K30" s="2">
        <v>0.25679999999999997</v>
      </c>
      <c r="L30" s="2">
        <v>0.27100000000000002</v>
      </c>
      <c r="M30" s="2">
        <v>0.24859999999999999</v>
      </c>
      <c r="N30" s="2">
        <v>0.13039999999999999</v>
      </c>
      <c r="O30" s="2">
        <v>0.1623</v>
      </c>
      <c r="P30" s="2">
        <v>0.1615</v>
      </c>
      <c r="Q30" s="2">
        <v>9.9000000000000008E-3</v>
      </c>
      <c r="R30" s="2">
        <v>-2.5399999999999999E-2</v>
      </c>
      <c r="S30" s="2">
        <v>-7.4899999999999994E-2</v>
      </c>
      <c r="T30" s="2">
        <v>-2.0000000000000001E-4</v>
      </c>
      <c r="U30" s="2">
        <v>1.18E-2</v>
      </c>
      <c r="V30" s="2">
        <f>V28/V3</f>
        <v>4.5743570276169689E-2</v>
      </c>
      <c r="W30" s="28">
        <f t="shared" ref="W30:AA30" si="16">W28/W3</f>
        <v>7.5919250180245132E-2</v>
      </c>
      <c r="X30" s="28">
        <f t="shared" si="16"/>
        <v>8.6492258408969569E-2</v>
      </c>
      <c r="Y30" s="28">
        <f t="shared" si="16"/>
        <v>9.5009881422924908E-2</v>
      </c>
      <c r="Z30" s="28">
        <f t="shared" si="16"/>
        <v>0.1130091438071488</v>
      </c>
      <c r="AA30" s="28">
        <f t="shared" si="16"/>
        <v>0.14152841577768499</v>
      </c>
    </row>
    <row r="31" spans="1:31" ht="19" x14ac:dyDescent="0.25">
      <c r="A31" s="5" t="s">
        <v>24</v>
      </c>
      <c r="B31" s="12">
        <v>-0.22</v>
      </c>
      <c r="C31" s="12">
        <v>-0.36</v>
      </c>
      <c r="D31" s="12">
        <v>-0.21</v>
      </c>
      <c r="E31" s="12">
        <v>0.05</v>
      </c>
      <c r="F31" s="12">
        <v>0.01</v>
      </c>
      <c r="G31" s="12">
        <v>0.22</v>
      </c>
      <c r="H31" s="12">
        <v>0.43</v>
      </c>
      <c r="I31" s="12">
        <v>0.75</v>
      </c>
      <c r="J31" s="12">
        <v>1.27</v>
      </c>
      <c r="K31" s="12">
        <v>1.73</v>
      </c>
      <c r="L31" s="12">
        <v>2.2999999999999998</v>
      </c>
      <c r="M31" s="12">
        <v>2.66</v>
      </c>
      <c r="N31" s="12">
        <v>1.63</v>
      </c>
      <c r="O31" s="12">
        <v>2.4</v>
      </c>
      <c r="P31" s="12">
        <v>3.09</v>
      </c>
      <c r="Q31" s="12">
        <v>0.31</v>
      </c>
      <c r="R31" s="12">
        <v>-0.82</v>
      </c>
      <c r="S31" s="12">
        <v>-3.71</v>
      </c>
      <c r="T31" s="12">
        <v>-0.01</v>
      </c>
      <c r="U31" s="12">
        <v>1.67</v>
      </c>
      <c r="V31" s="12">
        <v>9.7200000000000006</v>
      </c>
      <c r="W31" s="30">
        <v>21.02</v>
      </c>
      <c r="X31" s="30">
        <v>29.11</v>
      </c>
      <c r="Y31" s="30">
        <v>38.39</v>
      </c>
      <c r="Z31" s="30">
        <v>54.27</v>
      </c>
      <c r="AA31" s="30">
        <v>74.42</v>
      </c>
    </row>
    <row r="32" spans="1:31" ht="19" x14ac:dyDescent="0.25">
      <c r="A32" s="5" t="s">
        <v>25</v>
      </c>
      <c r="B32" s="12">
        <v>-0.22</v>
      </c>
      <c r="C32" s="12">
        <v>-0.36</v>
      </c>
      <c r="D32" s="12">
        <v>-0.21</v>
      </c>
      <c r="E32" s="12">
        <v>0.05</v>
      </c>
      <c r="F32" s="12">
        <v>0.01</v>
      </c>
      <c r="G32" s="12">
        <v>0.22</v>
      </c>
      <c r="H32" s="12">
        <v>0.42</v>
      </c>
      <c r="I32" s="12">
        <v>0.75</v>
      </c>
      <c r="J32" s="12">
        <v>1.27</v>
      </c>
      <c r="K32" s="12">
        <v>1.73</v>
      </c>
      <c r="L32" s="12">
        <v>2.2999999999999998</v>
      </c>
      <c r="M32" s="12">
        <v>2.66</v>
      </c>
      <c r="N32" s="12">
        <v>1.63</v>
      </c>
      <c r="O32" s="12">
        <v>2.4</v>
      </c>
      <c r="P32" s="12">
        <v>3.09</v>
      </c>
      <c r="Q32" s="12">
        <v>0.31</v>
      </c>
      <c r="R32" s="12">
        <v>-0.82</v>
      </c>
      <c r="S32" s="12">
        <v>-3.71</v>
      </c>
      <c r="T32" s="12">
        <v>-0.01</v>
      </c>
      <c r="U32" s="12">
        <v>1.67</v>
      </c>
      <c r="V32" s="12">
        <v>9.7200000000000006</v>
      </c>
    </row>
    <row r="33" spans="1:23" ht="19" x14ac:dyDescent="0.25">
      <c r="A33" s="5" t="s">
        <v>26</v>
      </c>
      <c r="B33" s="1">
        <v>13475873</v>
      </c>
      <c r="C33" s="1">
        <v>10277778</v>
      </c>
      <c r="D33" s="1">
        <v>12739980</v>
      </c>
      <c r="E33" s="1">
        <v>13065496</v>
      </c>
      <c r="F33" s="1">
        <v>13149139</v>
      </c>
      <c r="G33" s="1">
        <v>25149405</v>
      </c>
      <c r="H33" s="1">
        <v>44239443</v>
      </c>
      <c r="I33" s="1">
        <v>44086892</v>
      </c>
      <c r="J33" s="1">
        <v>44124018</v>
      </c>
      <c r="K33" s="1">
        <v>44138397</v>
      </c>
      <c r="L33" s="1">
        <v>44147861</v>
      </c>
      <c r="M33" s="1">
        <v>44152600</v>
      </c>
      <c r="N33" s="1">
        <v>44153884</v>
      </c>
      <c r="O33" s="1">
        <v>44155680</v>
      </c>
      <c r="P33" s="1">
        <v>44157251</v>
      </c>
      <c r="Q33" s="1">
        <v>44157364</v>
      </c>
      <c r="R33" s="1">
        <v>44529614</v>
      </c>
      <c r="S33" s="1">
        <v>48692906</v>
      </c>
      <c r="T33" s="1">
        <v>49740407</v>
      </c>
      <c r="U33" s="1">
        <v>49597157</v>
      </c>
      <c r="V33" s="1">
        <v>49597157</v>
      </c>
      <c r="W33" s="1" cm="1">
        <f t="array" ref="W33">_FV(A1,"Shares outstanding",TRUE)</f>
        <v>50092670</v>
      </c>
    </row>
    <row r="34" spans="1:23" ht="19" x14ac:dyDescent="0.25">
      <c r="A34" s="5" t="s">
        <v>27</v>
      </c>
      <c r="B34" s="1">
        <v>13986707</v>
      </c>
      <c r="C34" s="1">
        <v>10277778</v>
      </c>
      <c r="D34" s="1">
        <v>12739980</v>
      </c>
      <c r="E34" s="1">
        <v>13671359</v>
      </c>
      <c r="F34" s="1">
        <v>13149139</v>
      </c>
      <c r="G34" s="1">
        <v>25478336</v>
      </c>
      <c r="H34" s="1">
        <v>44348950</v>
      </c>
      <c r="I34" s="1">
        <v>44144368</v>
      </c>
      <c r="J34" s="1">
        <v>44146858</v>
      </c>
      <c r="K34" s="1">
        <v>44151437</v>
      </c>
      <c r="L34" s="1">
        <v>44149838</v>
      </c>
      <c r="M34" s="1">
        <v>44152600</v>
      </c>
      <c r="N34" s="1">
        <v>44153884</v>
      </c>
      <c r="O34" s="1">
        <v>44155680</v>
      </c>
      <c r="P34" s="1">
        <v>44157251</v>
      </c>
      <c r="Q34" s="1">
        <v>44157364</v>
      </c>
      <c r="R34" s="1">
        <v>44529614</v>
      </c>
      <c r="S34" s="1">
        <v>48692906</v>
      </c>
      <c r="T34" s="1">
        <v>49740407</v>
      </c>
      <c r="U34" s="1">
        <v>49597157</v>
      </c>
      <c r="V34" s="1">
        <v>49597157</v>
      </c>
      <c r="W34" s="1" cm="1">
        <f t="array" ref="W34">_FV(A1,"Shares outstanding",TRUE)</f>
        <v>50092670</v>
      </c>
    </row>
    <row r="35" spans="1:23" ht="20" customHeight="1" x14ac:dyDescent="0.25">
      <c r="A35" s="14" t="s">
        <v>102</v>
      </c>
      <c r="B35" s="1"/>
      <c r="C35" s="22">
        <f>(C34-B34)/B34</f>
        <v>-0.2651752839320935</v>
      </c>
      <c r="D35" s="22">
        <f t="shared" ref="D35:W35" si="17">(D34-C34)/C34</f>
        <v>0.23956559482020334</v>
      </c>
      <c r="E35" s="22">
        <f t="shared" si="17"/>
        <v>7.310678666685505E-2</v>
      </c>
      <c r="F35" s="22">
        <f t="shared" si="17"/>
        <v>-3.8198104519089872E-2</v>
      </c>
      <c r="G35" s="22">
        <f t="shared" si="17"/>
        <v>0.93764291334968775</v>
      </c>
      <c r="H35" s="22">
        <f t="shared" si="17"/>
        <v>0.7406533142509778</v>
      </c>
      <c r="I35" s="22">
        <f t="shared" si="17"/>
        <v>-4.6130066213518018E-3</v>
      </c>
      <c r="J35" s="22">
        <f t="shared" si="17"/>
        <v>5.6405836413832E-5</v>
      </c>
      <c r="K35" s="22">
        <f t="shared" si="17"/>
        <v>1.03721990815292E-4</v>
      </c>
      <c r="L35" s="22">
        <f t="shared" si="17"/>
        <v>-3.6216261771955465E-5</v>
      </c>
      <c r="M35" s="22">
        <f t="shared" si="17"/>
        <v>6.2559685949470533E-5</v>
      </c>
      <c r="N35" s="22">
        <f t="shared" si="17"/>
        <v>2.9080960124658569E-5</v>
      </c>
      <c r="O35" s="22">
        <f t="shared" si="17"/>
        <v>4.0675923323076178E-5</v>
      </c>
      <c r="P35" s="22">
        <f t="shared" si="17"/>
        <v>3.5578661680671657E-5</v>
      </c>
      <c r="Q35" s="22">
        <f t="shared" si="17"/>
        <v>2.5590361139102614E-6</v>
      </c>
      <c r="R35" s="22">
        <f t="shared" si="17"/>
        <v>8.4300774837918306E-3</v>
      </c>
      <c r="S35" s="22">
        <f t="shared" si="17"/>
        <v>9.3494904312442506E-2</v>
      </c>
      <c r="T35" s="22">
        <f t="shared" si="17"/>
        <v>2.1512394433801096E-2</v>
      </c>
      <c r="U35" s="22">
        <f t="shared" si="17"/>
        <v>-2.8799523091960224E-3</v>
      </c>
      <c r="V35" s="22">
        <f t="shared" si="17"/>
        <v>0</v>
      </c>
      <c r="W35" s="22">
        <f t="shared" si="17"/>
        <v>9.9907541071356173E-3</v>
      </c>
    </row>
    <row r="36" spans="1:23"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row>
    <row r="37" spans="1:23"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row>
    <row r="38" spans="1:23" ht="19" x14ac:dyDescent="0.25">
      <c r="A38" s="5" t="s">
        <v>30</v>
      </c>
      <c r="B38" s="1" t="s">
        <v>91</v>
      </c>
      <c r="C38" s="1" t="s">
        <v>91</v>
      </c>
      <c r="D38" s="1" t="s">
        <v>91</v>
      </c>
      <c r="E38" s="1">
        <v>8979838</v>
      </c>
      <c r="F38" s="1">
        <v>7143027</v>
      </c>
      <c r="G38" s="1">
        <v>15677407</v>
      </c>
      <c r="H38" s="1">
        <v>17474112</v>
      </c>
      <c r="I38" s="1">
        <v>49803402</v>
      </c>
      <c r="J38" s="1">
        <v>56830466</v>
      </c>
      <c r="K38" s="1">
        <v>67381677</v>
      </c>
      <c r="L38" s="1">
        <v>101489002</v>
      </c>
      <c r="M38" s="1">
        <v>140285104</v>
      </c>
      <c r="N38" s="1">
        <v>223144226</v>
      </c>
      <c r="O38" s="1">
        <v>166881000</v>
      </c>
      <c r="P38" s="1">
        <v>234140000</v>
      </c>
      <c r="Q38" s="1">
        <v>388260000</v>
      </c>
      <c r="R38" s="1">
        <v>440332000</v>
      </c>
      <c r="S38" s="1">
        <v>1384740000</v>
      </c>
      <c r="T38" s="1">
        <v>1856394000</v>
      </c>
      <c r="U38" s="1">
        <v>2584586000</v>
      </c>
      <c r="V38" s="1">
        <v>1910000000</v>
      </c>
    </row>
    <row r="39" spans="1:23" ht="19" x14ac:dyDescent="0.25">
      <c r="A39" s="5" t="s">
        <v>31</v>
      </c>
      <c r="B39" s="1" t="s">
        <v>91</v>
      </c>
      <c r="C39" s="1" t="s">
        <v>91</v>
      </c>
      <c r="D39" s="1" t="s">
        <v>91</v>
      </c>
      <c r="E39" s="1">
        <v>3411266</v>
      </c>
      <c r="F39" s="1">
        <v>6320656</v>
      </c>
      <c r="G39" s="1">
        <v>52300007</v>
      </c>
      <c r="H39" s="1">
        <v>31639400</v>
      </c>
      <c r="I39" s="1">
        <v>14580185</v>
      </c>
      <c r="J39" s="1">
        <v>5342766</v>
      </c>
      <c r="K39" s="1">
        <v>74928620</v>
      </c>
      <c r="L39" s="1">
        <v>93694805</v>
      </c>
      <c r="M39" s="1">
        <v>76593214</v>
      </c>
      <c r="N39" s="1">
        <v>148809539</v>
      </c>
      <c r="O39" s="1">
        <v>202112000</v>
      </c>
      <c r="P39" s="1">
        <v>253321000</v>
      </c>
      <c r="Q39" s="1">
        <v>209432000</v>
      </c>
      <c r="R39" s="1">
        <v>461541000</v>
      </c>
      <c r="S39" s="1">
        <v>1597241000</v>
      </c>
      <c r="T39" s="1">
        <v>1241306000</v>
      </c>
      <c r="U39" s="1">
        <v>207329000</v>
      </c>
      <c r="V39" s="1">
        <v>2339000000</v>
      </c>
    </row>
    <row r="40" spans="1:23" ht="19" x14ac:dyDescent="0.25">
      <c r="A40" s="5" t="s">
        <v>32</v>
      </c>
      <c r="B40" s="1" t="s">
        <v>91</v>
      </c>
      <c r="C40" s="1" t="s">
        <v>91</v>
      </c>
      <c r="D40" s="1" t="s">
        <v>91</v>
      </c>
      <c r="E40" s="1">
        <v>12391104</v>
      </c>
      <c r="F40" s="1">
        <v>13463683</v>
      </c>
      <c r="G40" s="1">
        <v>67977414</v>
      </c>
      <c r="H40" s="1">
        <v>49113512</v>
      </c>
      <c r="I40" s="1">
        <v>64383587</v>
      </c>
      <c r="J40" s="1">
        <v>62173232</v>
      </c>
      <c r="K40" s="1">
        <v>142310297</v>
      </c>
      <c r="L40" s="1">
        <v>195183807</v>
      </c>
      <c r="M40" s="1">
        <v>216878318</v>
      </c>
      <c r="N40" s="1">
        <v>371953765</v>
      </c>
      <c r="O40" s="1">
        <v>368993000</v>
      </c>
      <c r="P40" s="1">
        <v>487461000</v>
      </c>
      <c r="Q40" s="1">
        <v>597692000</v>
      </c>
      <c r="R40" s="1">
        <v>901873000</v>
      </c>
      <c r="S40" s="1">
        <v>2981981000</v>
      </c>
      <c r="T40" s="1">
        <v>3097700000</v>
      </c>
      <c r="U40" s="1">
        <v>2791915000</v>
      </c>
      <c r="V40" s="1">
        <v>4249000000</v>
      </c>
    </row>
    <row r="41" spans="1:23" ht="19" x14ac:dyDescent="0.25">
      <c r="A41" s="5" t="s">
        <v>33</v>
      </c>
      <c r="B41" s="1" t="s">
        <v>91</v>
      </c>
      <c r="C41" s="1" t="s">
        <v>91</v>
      </c>
      <c r="D41" s="1" t="s">
        <v>91</v>
      </c>
      <c r="E41" s="1">
        <v>6548564</v>
      </c>
      <c r="F41" s="1">
        <v>12171715</v>
      </c>
      <c r="G41" s="1">
        <v>32374015</v>
      </c>
      <c r="H41" s="1">
        <v>6178808</v>
      </c>
      <c r="I41" s="1">
        <v>8654179</v>
      </c>
      <c r="J41" s="1">
        <v>18769691</v>
      </c>
      <c r="K41" s="1">
        <v>40670776</v>
      </c>
      <c r="L41" s="1">
        <v>65442717</v>
      </c>
      <c r="M41" s="1">
        <v>86648443</v>
      </c>
      <c r="N41" s="1">
        <v>142523623</v>
      </c>
      <c r="O41" s="1">
        <v>166574000</v>
      </c>
      <c r="P41" s="1">
        <v>359775000</v>
      </c>
      <c r="Q41" s="1">
        <v>673430000</v>
      </c>
      <c r="R41" s="1">
        <v>542496000</v>
      </c>
      <c r="S41" s="1">
        <v>672803000</v>
      </c>
      <c r="T41" s="1">
        <v>1376338000</v>
      </c>
      <c r="U41" s="1">
        <v>3337938000</v>
      </c>
      <c r="V41" s="1">
        <v>130000000</v>
      </c>
    </row>
    <row r="42" spans="1:23"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v>222000</v>
      </c>
      <c r="P42" s="1">
        <v>1103000</v>
      </c>
      <c r="Q42" s="1">
        <v>2549000</v>
      </c>
      <c r="R42" s="1">
        <v>4612000</v>
      </c>
      <c r="S42" s="1">
        <v>8626000</v>
      </c>
      <c r="T42" s="1">
        <v>118140000</v>
      </c>
      <c r="U42" s="1">
        <v>253077000</v>
      </c>
      <c r="V42" s="1">
        <v>152000000</v>
      </c>
    </row>
    <row r="43" spans="1:23" ht="19" x14ac:dyDescent="0.25">
      <c r="A43" s="5" t="s">
        <v>35</v>
      </c>
      <c r="B43" s="1" t="s">
        <v>91</v>
      </c>
      <c r="C43" s="1" t="s">
        <v>91</v>
      </c>
      <c r="D43" s="1" t="s">
        <v>91</v>
      </c>
      <c r="E43" s="1">
        <v>1159354</v>
      </c>
      <c r="F43" s="1">
        <v>3484480</v>
      </c>
      <c r="G43" s="1">
        <v>4622741</v>
      </c>
      <c r="H43" s="1">
        <v>5008904</v>
      </c>
      <c r="I43" s="1">
        <v>9097250</v>
      </c>
      <c r="J43" s="1">
        <v>20692285</v>
      </c>
      <c r="K43" s="1">
        <v>17264482</v>
      </c>
      <c r="L43" s="1">
        <v>14734651</v>
      </c>
      <c r="M43" s="1">
        <v>22637474</v>
      </c>
      <c r="N43" s="1">
        <v>18272830</v>
      </c>
      <c r="O43" s="1">
        <v>21674000</v>
      </c>
      <c r="P43" s="1">
        <v>21122000</v>
      </c>
      <c r="Q43" s="1">
        <v>13248000</v>
      </c>
      <c r="R43" s="1">
        <v>62142000</v>
      </c>
      <c r="S43" s="1">
        <v>125446000</v>
      </c>
      <c r="T43" s="1">
        <v>754629000</v>
      </c>
      <c r="U43" s="1">
        <v>1792049000</v>
      </c>
      <c r="V43" s="1">
        <v>6422000000</v>
      </c>
    </row>
    <row r="44" spans="1:23" ht="19" x14ac:dyDescent="0.25">
      <c r="A44" s="6" t="s">
        <v>36</v>
      </c>
      <c r="B44" s="10" t="s">
        <v>91</v>
      </c>
      <c r="C44" s="10" t="s">
        <v>91</v>
      </c>
      <c r="D44" s="10" t="s">
        <v>91</v>
      </c>
      <c r="E44" s="10">
        <v>20099022</v>
      </c>
      <c r="F44" s="10">
        <v>29119878</v>
      </c>
      <c r="G44" s="10">
        <v>104974170</v>
      </c>
      <c r="H44" s="10">
        <v>60301224</v>
      </c>
      <c r="I44" s="10">
        <v>82135016</v>
      </c>
      <c r="J44" s="10">
        <v>101635208</v>
      </c>
      <c r="K44" s="10">
        <v>200245555</v>
      </c>
      <c r="L44" s="10">
        <v>275361175</v>
      </c>
      <c r="M44" s="10">
        <v>326164235</v>
      </c>
      <c r="N44" s="10">
        <v>532750218</v>
      </c>
      <c r="O44" s="10">
        <v>557463000</v>
      </c>
      <c r="P44" s="10">
        <v>869461000</v>
      </c>
      <c r="Q44" s="10">
        <v>1286919000</v>
      </c>
      <c r="R44" s="10">
        <v>1511123000</v>
      </c>
      <c r="S44" s="10">
        <v>3788856000</v>
      </c>
      <c r="T44" s="10">
        <v>5346807000</v>
      </c>
      <c r="U44" s="10">
        <v>8174979000</v>
      </c>
      <c r="V44" s="10">
        <v>10953000000</v>
      </c>
    </row>
    <row r="45" spans="1:23" ht="19" x14ac:dyDescent="0.25">
      <c r="A45" s="5" t="s">
        <v>37</v>
      </c>
      <c r="B45" s="1" t="s">
        <v>91</v>
      </c>
      <c r="C45" s="1" t="s">
        <v>91</v>
      </c>
      <c r="D45" s="1" t="s">
        <v>91</v>
      </c>
      <c r="E45" s="1">
        <v>2343623</v>
      </c>
      <c r="F45" s="1">
        <v>2931470</v>
      </c>
      <c r="G45" s="1">
        <v>4143204</v>
      </c>
      <c r="H45" s="1">
        <v>5940160</v>
      </c>
      <c r="I45" s="1">
        <v>5948276</v>
      </c>
      <c r="J45" s="1">
        <v>20817712</v>
      </c>
      <c r="K45" s="1">
        <v>30877719</v>
      </c>
      <c r="L45" s="1">
        <v>37726222</v>
      </c>
      <c r="M45" s="1">
        <v>131371909</v>
      </c>
      <c r="N45" s="1">
        <v>91544836</v>
      </c>
      <c r="O45" s="1">
        <v>81633000</v>
      </c>
      <c r="P45" s="1">
        <v>124261000</v>
      </c>
      <c r="Q45" s="1">
        <v>114837000</v>
      </c>
      <c r="R45" s="1">
        <v>165614000</v>
      </c>
      <c r="S45" s="1">
        <v>444706000</v>
      </c>
      <c r="T45" s="1">
        <v>694898000</v>
      </c>
      <c r="U45" s="1">
        <v>1268542000</v>
      </c>
      <c r="V45" s="1">
        <v>1649000000</v>
      </c>
    </row>
    <row r="46" spans="1:23" ht="19" x14ac:dyDescent="0.25">
      <c r="A46" s="5" t="s">
        <v>38</v>
      </c>
      <c r="B46" s="1" t="s">
        <v>91</v>
      </c>
      <c r="C46" s="1" t="s">
        <v>91</v>
      </c>
      <c r="D46" s="1" t="s">
        <v>91</v>
      </c>
      <c r="E46" s="1">
        <v>19657797</v>
      </c>
      <c r="F46" s="1">
        <v>20572792</v>
      </c>
      <c r="G46" s="1">
        <v>23000467</v>
      </c>
      <c r="H46" s="1">
        <v>65652774</v>
      </c>
      <c r="I46" s="1">
        <v>59822746</v>
      </c>
      <c r="J46" s="1">
        <v>60496314</v>
      </c>
      <c r="K46" s="1">
        <v>62093948</v>
      </c>
      <c r="L46" s="1">
        <v>60366063</v>
      </c>
      <c r="M46" s="1">
        <v>55101218</v>
      </c>
      <c r="N46" s="1">
        <v>68828504</v>
      </c>
      <c r="O46" s="1">
        <v>86545000</v>
      </c>
      <c r="P46" s="1">
        <v>91797000</v>
      </c>
      <c r="Q46" s="1">
        <v>92279000</v>
      </c>
      <c r="R46" s="1">
        <v>88883000</v>
      </c>
      <c r="S46" s="1">
        <v>87609000</v>
      </c>
      <c r="T46" s="1">
        <v>85211000</v>
      </c>
      <c r="U46" s="1">
        <v>148243000</v>
      </c>
      <c r="V46" s="1">
        <v>153000000</v>
      </c>
    </row>
    <row r="47" spans="1:23" ht="19" x14ac:dyDescent="0.25">
      <c r="A47" s="5" t="s">
        <v>39</v>
      </c>
      <c r="B47" s="1" t="s">
        <v>91</v>
      </c>
      <c r="C47" s="1" t="s">
        <v>91</v>
      </c>
      <c r="D47" s="1" t="s">
        <v>91</v>
      </c>
      <c r="E47" s="1">
        <v>906382</v>
      </c>
      <c r="F47" s="1">
        <v>769523</v>
      </c>
      <c r="G47" s="1">
        <v>428179</v>
      </c>
      <c r="H47" s="1">
        <v>7258772</v>
      </c>
      <c r="I47" s="1">
        <v>4515818</v>
      </c>
      <c r="J47" s="1">
        <v>4141167</v>
      </c>
      <c r="K47" s="1">
        <v>6494857</v>
      </c>
      <c r="L47" s="1">
        <v>7279865</v>
      </c>
      <c r="M47" s="1">
        <v>6591585</v>
      </c>
      <c r="N47" s="1">
        <v>23171349</v>
      </c>
      <c r="O47" s="1">
        <v>28991000</v>
      </c>
      <c r="P47" s="1">
        <v>26277000</v>
      </c>
      <c r="Q47" s="1">
        <v>23174000</v>
      </c>
      <c r="R47" s="1">
        <v>18581000</v>
      </c>
      <c r="S47" s="1">
        <v>14275000</v>
      </c>
      <c r="T47" s="1">
        <v>14155000</v>
      </c>
      <c r="U47" s="1">
        <v>44974000</v>
      </c>
      <c r="V47" s="1">
        <v>25000000</v>
      </c>
    </row>
    <row r="48" spans="1:23" ht="19" x14ac:dyDescent="0.25">
      <c r="A48" s="5" t="s">
        <v>40</v>
      </c>
      <c r="B48" s="1" t="s">
        <v>91</v>
      </c>
      <c r="C48" s="1" t="s">
        <v>91</v>
      </c>
      <c r="D48" s="1" t="s">
        <v>91</v>
      </c>
      <c r="E48" s="1">
        <v>20564179</v>
      </c>
      <c r="F48" s="1">
        <v>21342315</v>
      </c>
      <c r="G48" s="1">
        <v>23428646</v>
      </c>
      <c r="H48" s="1">
        <v>72911546</v>
      </c>
      <c r="I48" s="1">
        <v>64338564</v>
      </c>
      <c r="J48" s="1">
        <v>64637481</v>
      </c>
      <c r="K48" s="1">
        <v>68588805</v>
      </c>
      <c r="L48" s="1">
        <v>67645928</v>
      </c>
      <c r="M48" s="1">
        <v>61692803</v>
      </c>
      <c r="N48" s="1">
        <v>91999853</v>
      </c>
      <c r="O48" s="1">
        <v>115536000</v>
      </c>
      <c r="P48" s="1">
        <v>118074000</v>
      </c>
      <c r="Q48" s="1">
        <v>115453000</v>
      </c>
      <c r="R48" s="1">
        <v>107464000</v>
      </c>
      <c r="S48" s="1">
        <v>101884000</v>
      </c>
      <c r="T48" s="1">
        <v>99366000</v>
      </c>
      <c r="U48" s="1">
        <v>193217000</v>
      </c>
      <c r="V48" s="1">
        <v>178000000</v>
      </c>
    </row>
    <row r="49" spans="1:22" ht="19" x14ac:dyDescent="0.25">
      <c r="A49" s="5" t="s">
        <v>41</v>
      </c>
      <c r="B49" s="1" t="s">
        <v>91</v>
      </c>
      <c r="C49" s="1" t="s">
        <v>91</v>
      </c>
      <c r="D49" s="1" t="s">
        <v>91</v>
      </c>
      <c r="E49" s="1" t="s">
        <v>91</v>
      </c>
      <c r="F49" s="1" t="s">
        <v>91</v>
      </c>
      <c r="G49" s="1" t="s">
        <v>91</v>
      </c>
      <c r="H49" s="1">
        <v>9218153</v>
      </c>
      <c r="I49" s="1">
        <v>26627357</v>
      </c>
      <c r="J49" s="1">
        <v>78846281</v>
      </c>
      <c r="K49" s="1">
        <v>43933316</v>
      </c>
      <c r="L49" s="1">
        <v>85955584</v>
      </c>
      <c r="M49" s="1">
        <v>45719737</v>
      </c>
      <c r="N49" s="1">
        <v>205265042</v>
      </c>
      <c r="O49" s="1">
        <v>187621000</v>
      </c>
      <c r="P49" s="1">
        <v>153803000</v>
      </c>
      <c r="Q49" s="1">
        <v>34720000</v>
      </c>
      <c r="R49" s="1">
        <v>276136000</v>
      </c>
      <c r="S49" s="1">
        <v>263983000</v>
      </c>
      <c r="T49" s="1">
        <v>166111000</v>
      </c>
      <c r="U49" s="1">
        <v>75539000</v>
      </c>
      <c r="V49" s="1">
        <v>322000000</v>
      </c>
    </row>
    <row r="50" spans="1:22" ht="19" x14ac:dyDescent="0.25">
      <c r="A50" s="5" t="s">
        <v>42</v>
      </c>
      <c r="B50" s="1" t="s">
        <v>91</v>
      </c>
      <c r="C50" s="1" t="s">
        <v>91</v>
      </c>
      <c r="D50" s="1" t="s">
        <v>91</v>
      </c>
      <c r="E50" s="1">
        <v>1384650</v>
      </c>
      <c r="F50" s="1">
        <v>390820</v>
      </c>
      <c r="G50" s="1">
        <v>269596</v>
      </c>
      <c r="H50" s="1">
        <v>14270</v>
      </c>
      <c r="I50" s="1">
        <v>2897492</v>
      </c>
      <c r="J50" s="1">
        <v>2975118</v>
      </c>
      <c r="K50" s="1">
        <v>6491646</v>
      </c>
      <c r="L50" s="1">
        <v>5862247</v>
      </c>
      <c r="M50" s="1">
        <v>3014905</v>
      </c>
      <c r="N50" s="1">
        <v>21553696</v>
      </c>
      <c r="O50" s="1">
        <v>17398000</v>
      </c>
      <c r="P50" s="1">
        <v>45017000</v>
      </c>
      <c r="Q50" s="1">
        <v>57324000</v>
      </c>
      <c r="R50" s="1">
        <v>141438000</v>
      </c>
      <c r="S50" s="1">
        <v>117582000</v>
      </c>
      <c r="T50" s="1">
        <v>134916000</v>
      </c>
      <c r="U50" s="1">
        <v>181266000</v>
      </c>
      <c r="V50" s="1">
        <v>346000000</v>
      </c>
    </row>
    <row r="51" spans="1:22" ht="19" x14ac:dyDescent="0.25">
      <c r="A51" s="5" t="s">
        <v>43</v>
      </c>
      <c r="B51" s="1" t="s">
        <v>91</v>
      </c>
      <c r="C51" s="1" t="s">
        <v>91</v>
      </c>
      <c r="D51" s="1" t="s">
        <v>91</v>
      </c>
      <c r="E51" s="1">
        <v>28299</v>
      </c>
      <c r="F51" s="1">
        <v>28089</v>
      </c>
      <c r="G51" s="1">
        <v>1677184</v>
      </c>
      <c r="H51" s="1">
        <v>8353396</v>
      </c>
      <c r="I51" s="1">
        <v>667944</v>
      </c>
      <c r="J51" s="1">
        <v>771223</v>
      </c>
      <c r="K51" s="1">
        <v>5794395</v>
      </c>
      <c r="L51" s="1">
        <v>6118120</v>
      </c>
      <c r="M51" s="1">
        <v>24399184</v>
      </c>
      <c r="N51" s="1">
        <v>23734090</v>
      </c>
      <c r="O51" s="1">
        <v>43955000</v>
      </c>
      <c r="P51" s="1">
        <v>56819000</v>
      </c>
      <c r="Q51" s="1">
        <v>63934000</v>
      </c>
      <c r="R51" s="1">
        <v>37744000</v>
      </c>
      <c r="S51" s="1">
        <v>64680000</v>
      </c>
      <c r="T51" s="1">
        <v>84234000</v>
      </c>
      <c r="U51" s="1">
        <v>207615000</v>
      </c>
      <c r="V51" s="1">
        <v>288000000</v>
      </c>
    </row>
    <row r="52" spans="1:22" ht="19" x14ac:dyDescent="0.25">
      <c r="A52" s="5" t="s">
        <v>44</v>
      </c>
      <c r="B52" s="1" t="s">
        <v>91</v>
      </c>
      <c r="C52" s="1" t="s">
        <v>91</v>
      </c>
      <c r="D52" s="1" t="s">
        <v>91</v>
      </c>
      <c r="E52" s="1">
        <v>24320751</v>
      </c>
      <c r="F52" s="1">
        <v>24692694</v>
      </c>
      <c r="G52" s="1">
        <v>29518630</v>
      </c>
      <c r="H52" s="1">
        <v>96437525</v>
      </c>
      <c r="I52" s="1">
        <v>100479633</v>
      </c>
      <c r="J52" s="1">
        <v>168047815</v>
      </c>
      <c r="K52" s="1">
        <v>155685881</v>
      </c>
      <c r="L52" s="1">
        <v>203308101</v>
      </c>
      <c r="M52" s="1">
        <v>266198538</v>
      </c>
      <c r="N52" s="1">
        <v>434097517</v>
      </c>
      <c r="O52" s="1">
        <v>446143000</v>
      </c>
      <c r="P52" s="1">
        <v>497974000</v>
      </c>
      <c r="Q52" s="1">
        <v>386268000</v>
      </c>
      <c r="R52" s="1">
        <v>728396000</v>
      </c>
      <c r="S52" s="1">
        <v>992835000</v>
      </c>
      <c r="T52" s="1">
        <v>1179525000</v>
      </c>
      <c r="U52" s="1">
        <v>1926179000</v>
      </c>
      <c r="V52" s="1">
        <v>2783000000</v>
      </c>
    </row>
    <row r="53" spans="1:22" ht="19" x14ac:dyDescent="0.25">
      <c r="A53" s="5" t="s">
        <v>45</v>
      </c>
      <c r="B53" s="1" t="s">
        <v>91</v>
      </c>
      <c r="C53" s="1">
        <v>27300000</v>
      </c>
      <c r="D53" s="1">
        <v>24100000</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row>
    <row r="54" spans="1:22" ht="20" thickBot="1" x14ac:dyDescent="0.3">
      <c r="A54" s="7" t="s">
        <v>46</v>
      </c>
      <c r="B54" s="11" t="s">
        <v>91</v>
      </c>
      <c r="C54" s="11">
        <v>27300000</v>
      </c>
      <c r="D54" s="11">
        <v>24100000</v>
      </c>
      <c r="E54" s="11">
        <v>44419773</v>
      </c>
      <c r="F54" s="11">
        <v>53812572</v>
      </c>
      <c r="G54" s="11">
        <v>134492800</v>
      </c>
      <c r="H54" s="11">
        <v>156738749</v>
      </c>
      <c r="I54" s="11">
        <v>182614649</v>
      </c>
      <c r="J54" s="11">
        <v>269683023</v>
      </c>
      <c r="K54" s="11">
        <v>355931436</v>
      </c>
      <c r="L54" s="11">
        <v>478669276</v>
      </c>
      <c r="M54" s="11">
        <v>592362773</v>
      </c>
      <c r="N54" s="11">
        <v>966847735</v>
      </c>
      <c r="O54" s="11">
        <v>1003606000</v>
      </c>
      <c r="P54" s="11">
        <v>1367435000</v>
      </c>
      <c r="Q54" s="11">
        <v>1673187000</v>
      </c>
      <c r="R54" s="11">
        <v>2239519000</v>
      </c>
      <c r="S54" s="11">
        <v>4781691000</v>
      </c>
      <c r="T54" s="11">
        <v>6526332000</v>
      </c>
      <c r="U54" s="11">
        <v>10101158000</v>
      </c>
      <c r="V54" s="11">
        <v>13736000000</v>
      </c>
    </row>
    <row r="55" spans="1:22" ht="20" thickTop="1" x14ac:dyDescent="0.25">
      <c r="A55" s="5" t="s">
        <v>47</v>
      </c>
      <c r="B55" s="1" t="s">
        <v>91</v>
      </c>
      <c r="C55" s="1" t="s">
        <v>91</v>
      </c>
      <c r="D55" s="1" t="s">
        <v>91</v>
      </c>
      <c r="E55" s="1">
        <v>2661208</v>
      </c>
      <c r="F55" s="1">
        <v>5708682</v>
      </c>
      <c r="G55" s="1">
        <v>4022469</v>
      </c>
      <c r="H55" s="1">
        <v>7980983</v>
      </c>
      <c r="I55" s="1">
        <v>7230325</v>
      </c>
      <c r="J55" s="1">
        <v>11527279</v>
      </c>
      <c r="K55" s="1">
        <v>12154539</v>
      </c>
      <c r="L55" s="1">
        <v>14821511</v>
      </c>
      <c r="M55" s="1">
        <v>26658109</v>
      </c>
      <c r="N55" s="1">
        <v>50812453</v>
      </c>
      <c r="O55" s="1">
        <v>54649000</v>
      </c>
      <c r="P55" s="1">
        <v>95145000</v>
      </c>
      <c r="Q55" s="1">
        <v>199498000</v>
      </c>
      <c r="R55" s="1">
        <v>243307000</v>
      </c>
      <c r="S55" s="1">
        <v>331140000</v>
      </c>
      <c r="T55" s="1">
        <v>728056000</v>
      </c>
      <c r="U55" s="1">
        <v>987513000</v>
      </c>
      <c r="V55" s="1">
        <v>4847000000</v>
      </c>
    </row>
    <row r="56" spans="1:22" ht="19" x14ac:dyDescent="0.25">
      <c r="A56" s="5" t="s">
        <v>48</v>
      </c>
      <c r="B56" s="1" t="s">
        <v>91</v>
      </c>
      <c r="C56" s="1" t="s">
        <v>91</v>
      </c>
      <c r="D56" s="1" t="s">
        <v>91</v>
      </c>
      <c r="E56" s="1">
        <v>131085</v>
      </c>
      <c r="F56" s="1">
        <v>97527</v>
      </c>
      <c r="G56" s="1">
        <v>9713227</v>
      </c>
      <c r="H56" s="1">
        <v>14963421</v>
      </c>
      <c r="I56" s="1">
        <v>3213992</v>
      </c>
      <c r="J56" s="1">
        <v>100031</v>
      </c>
      <c r="K56" s="1">
        <v>146194</v>
      </c>
      <c r="L56" s="1">
        <v>84570</v>
      </c>
      <c r="M56" s="1">
        <v>13370823</v>
      </c>
      <c r="N56" s="1">
        <v>1641646</v>
      </c>
      <c r="O56" s="1">
        <v>1965000</v>
      </c>
      <c r="P56" s="1">
        <v>11583000</v>
      </c>
      <c r="Q56" s="1">
        <v>56325000</v>
      </c>
      <c r="R56" s="1">
        <v>132949000</v>
      </c>
      <c r="S56" s="1">
        <v>209397000</v>
      </c>
      <c r="T56" s="1">
        <v>603639000</v>
      </c>
      <c r="U56" s="1">
        <v>795261000</v>
      </c>
      <c r="V56" s="1">
        <v>142000000</v>
      </c>
    </row>
    <row r="57" spans="1:22" ht="19" x14ac:dyDescent="0.25">
      <c r="A57" s="5" t="s">
        <v>49</v>
      </c>
      <c r="B57" s="1" t="s">
        <v>91</v>
      </c>
      <c r="C57" s="1" t="s">
        <v>91</v>
      </c>
      <c r="D57" s="1" t="s">
        <v>91</v>
      </c>
      <c r="E57" s="1" t="s">
        <v>91</v>
      </c>
      <c r="F57" s="1" t="s">
        <v>91</v>
      </c>
      <c r="G57" s="1" t="s">
        <v>91</v>
      </c>
      <c r="H57" s="1">
        <v>4989704</v>
      </c>
      <c r="I57" s="1">
        <v>6797516</v>
      </c>
      <c r="J57" s="1">
        <v>11487574</v>
      </c>
      <c r="K57" s="1">
        <v>11633178</v>
      </c>
      <c r="L57" s="1">
        <v>19210568</v>
      </c>
      <c r="M57" s="1">
        <v>17854110</v>
      </c>
      <c r="N57" s="1">
        <v>26012849</v>
      </c>
      <c r="O57" s="1">
        <v>10092000</v>
      </c>
      <c r="P57" s="1">
        <v>27338000</v>
      </c>
      <c r="Q57" s="1">
        <v>32150000</v>
      </c>
      <c r="R57" s="1">
        <v>31058000</v>
      </c>
      <c r="S57" s="1">
        <v>60247000</v>
      </c>
      <c r="T57" s="1">
        <v>215918000</v>
      </c>
      <c r="U57" s="1">
        <v>291456000</v>
      </c>
      <c r="V57" s="1">
        <v>414000000</v>
      </c>
    </row>
    <row r="58" spans="1:22"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v>20465000</v>
      </c>
      <c r="S58" s="1">
        <v>107256000</v>
      </c>
      <c r="T58" s="1">
        <v>86614000</v>
      </c>
      <c r="U58" s="1">
        <v>67293000</v>
      </c>
      <c r="V58" s="1" t="s">
        <v>91</v>
      </c>
    </row>
    <row r="59" spans="1:22" ht="19" x14ac:dyDescent="0.25">
      <c r="A59" s="5" t="s">
        <v>51</v>
      </c>
      <c r="B59" s="1" t="s">
        <v>91</v>
      </c>
      <c r="C59" s="1" t="s">
        <v>91</v>
      </c>
      <c r="D59" s="1" t="s">
        <v>91</v>
      </c>
      <c r="E59" s="1">
        <v>8106546</v>
      </c>
      <c r="F59" s="1">
        <v>13854710</v>
      </c>
      <c r="G59" s="1">
        <v>28015810</v>
      </c>
      <c r="H59" s="1">
        <v>28375777</v>
      </c>
      <c r="I59" s="1">
        <v>43251059</v>
      </c>
      <c r="J59" s="1">
        <v>65279583</v>
      </c>
      <c r="K59" s="1">
        <v>94369614</v>
      </c>
      <c r="L59" s="1">
        <v>135414623</v>
      </c>
      <c r="M59" s="1">
        <v>166282567</v>
      </c>
      <c r="N59" s="1">
        <v>214155205</v>
      </c>
      <c r="O59" s="1">
        <v>258320000</v>
      </c>
      <c r="P59" s="1">
        <v>442535000</v>
      </c>
      <c r="Q59" s="1">
        <v>680059000</v>
      </c>
      <c r="R59" s="1">
        <v>738445000</v>
      </c>
      <c r="S59" s="1">
        <v>1044280000</v>
      </c>
      <c r="T59" s="1">
        <v>2001653000</v>
      </c>
      <c r="U59" s="1">
        <v>3695179000</v>
      </c>
      <c r="V59" s="1">
        <v>3159000000</v>
      </c>
    </row>
    <row r="60" spans="1:22" ht="19" x14ac:dyDescent="0.25">
      <c r="A60" s="6" t="s">
        <v>52</v>
      </c>
      <c r="B60" s="10" t="s">
        <v>91</v>
      </c>
      <c r="C60" s="10" t="s">
        <v>91</v>
      </c>
      <c r="D60" s="10" t="s">
        <v>91</v>
      </c>
      <c r="E60" s="10">
        <v>10898839</v>
      </c>
      <c r="F60" s="10">
        <v>19660919</v>
      </c>
      <c r="G60" s="10">
        <v>41751506</v>
      </c>
      <c r="H60" s="10">
        <v>56309885</v>
      </c>
      <c r="I60" s="10">
        <v>60492892</v>
      </c>
      <c r="J60" s="10">
        <v>88394467</v>
      </c>
      <c r="K60" s="10">
        <v>118303525</v>
      </c>
      <c r="L60" s="10">
        <v>169531272</v>
      </c>
      <c r="M60" s="10">
        <v>224165609</v>
      </c>
      <c r="N60" s="10">
        <v>292622153</v>
      </c>
      <c r="O60" s="10">
        <v>325026000</v>
      </c>
      <c r="P60" s="10">
        <v>576601000</v>
      </c>
      <c r="Q60" s="10">
        <v>968032000</v>
      </c>
      <c r="R60" s="10">
        <v>1166224000</v>
      </c>
      <c r="S60" s="10">
        <v>1752320000</v>
      </c>
      <c r="T60" s="10">
        <v>3635880000</v>
      </c>
      <c r="U60" s="10">
        <v>5836702000</v>
      </c>
      <c r="V60" s="10">
        <v>8562000000</v>
      </c>
    </row>
    <row r="61" spans="1:22" ht="19" x14ac:dyDescent="0.25">
      <c r="A61" s="5" t="s">
        <v>53</v>
      </c>
      <c r="B61" s="1" t="s">
        <v>91</v>
      </c>
      <c r="C61" s="1" t="s">
        <v>91</v>
      </c>
      <c r="D61" s="1" t="s">
        <v>91</v>
      </c>
      <c r="E61" s="1">
        <v>12000000</v>
      </c>
      <c r="F61" s="1">
        <v>9000000</v>
      </c>
      <c r="G61" s="1" t="s">
        <v>91</v>
      </c>
      <c r="H61" s="1">
        <v>3389915</v>
      </c>
      <c r="I61" s="1">
        <v>1355006</v>
      </c>
      <c r="J61" s="1">
        <v>2751189</v>
      </c>
      <c r="K61" s="1">
        <v>3980399</v>
      </c>
      <c r="L61" s="1">
        <v>59493</v>
      </c>
      <c r="M61" s="1">
        <v>2489819</v>
      </c>
      <c r="N61" s="1">
        <v>282184331</v>
      </c>
      <c r="O61" s="1">
        <v>294342000</v>
      </c>
      <c r="P61" s="1">
        <v>301940000</v>
      </c>
      <c r="Q61" s="1">
        <v>312089000</v>
      </c>
      <c r="R61" s="1">
        <v>602228000</v>
      </c>
      <c r="S61" s="1">
        <v>808026000</v>
      </c>
      <c r="T61" s="1">
        <v>1104477000</v>
      </c>
      <c r="U61" s="1">
        <v>2602227000</v>
      </c>
      <c r="V61" s="1">
        <v>514000000</v>
      </c>
    </row>
    <row r="62" spans="1:22"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v>11469000</v>
      </c>
      <c r="V62" s="1" t="s">
        <v>91</v>
      </c>
    </row>
    <row r="63" spans="1:22" ht="19" x14ac:dyDescent="0.25">
      <c r="A63" s="5" t="s">
        <v>54</v>
      </c>
      <c r="B63" s="1" t="s">
        <v>91</v>
      </c>
      <c r="C63" s="1" t="s">
        <v>91</v>
      </c>
      <c r="D63" s="1" t="s">
        <v>91</v>
      </c>
      <c r="E63" s="1" t="s">
        <v>91</v>
      </c>
      <c r="F63" s="1" t="s">
        <v>91</v>
      </c>
      <c r="G63" s="1" t="s">
        <v>91</v>
      </c>
      <c r="H63" s="1">
        <v>2556120</v>
      </c>
      <c r="I63" s="1">
        <v>5170799</v>
      </c>
      <c r="J63" s="1">
        <v>5167699</v>
      </c>
      <c r="K63" s="1">
        <v>8670606</v>
      </c>
      <c r="L63" s="1">
        <v>8975290</v>
      </c>
      <c r="M63" s="1">
        <v>5339359</v>
      </c>
      <c r="N63" s="1">
        <v>18745855</v>
      </c>
      <c r="O63" s="1">
        <v>24498000</v>
      </c>
      <c r="P63" s="1">
        <v>34059000</v>
      </c>
      <c r="Q63" s="1">
        <v>23819000</v>
      </c>
      <c r="R63" s="1">
        <v>91698000</v>
      </c>
      <c r="S63" s="1">
        <v>99952000</v>
      </c>
      <c r="T63" s="1">
        <v>64354000</v>
      </c>
      <c r="U63" s="1">
        <v>62496000</v>
      </c>
      <c r="V63" s="1">
        <v>106000000</v>
      </c>
    </row>
    <row r="64" spans="1:22" ht="19" x14ac:dyDescent="0.25">
      <c r="A64" s="5" t="s">
        <v>55</v>
      </c>
      <c r="B64" s="1" t="s">
        <v>91</v>
      </c>
      <c r="C64" s="1" t="s">
        <v>91</v>
      </c>
      <c r="D64" s="1" t="s">
        <v>91</v>
      </c>
      <c r="E64" s="1">
        <v>63927754</v>
      </c>
      <c r="F64" s="1">
        <v>65879860</v>
      </c>
      <c r="G64" s="1">
        <v>1068155</v>
      </c>
      <c r="H64" s="1">
        <v>1058848</v>
      </c>
      <c r="I64" s="1">
        <v>1402715</v>
      </c>
      <c r="J64" s="1">
        <v>1651398</v>
      </c>
      <c r="K64" s="1">
        <v>1797890</v>
      </c>
      <c r="L64" s="1">
        <v>10289595</v>
      </c>
      <c r="M64" s="1">
        <v>16884378</v>
      </c>
      <c r="N64" s="1">
        <v>17506986</v>
      </c>
      <c r="O64" s="1">
        <v>20282000</v>
      </c>
      <c r="P64" s="1">
        <v>25981000</v>
      </c>
      <c r="Q64" s="1">
        <v>43468000</v>
      </c>
      <c r="R64" s="1">
        <v>42669000</v>
      </c>
      <c r="S64" s="1">
        <v>39430000</v>
      </c>
      <c r="T64" s="1">
        <v>70043000</v>
      </c>
      <c r="U64" s="1">
        <v>56573000</v>
      </c>
      <c r="V64" s="1">
        <v>2727000000</v>
      </c>
    </row>
    <row r="65" spans="1:22" ht="19" x14ac:dyDescent="0.25">
      <c r="A65" s="5" t="s">
        <v>56</v>
      </c>
      <c r="B65" s="1" t="s">
        <v>91</v>
      </c>
      <c r="C65" s="1" t="s">
        <v>91</v>
      </c>
      <c r="D65" s="1" t="s">
        <v>91</v>
      </c>
      <c r="E65" s="1">
        <v>75927754</v>
      </c>
      <c r="F65" s="1">
        <v>74879860</v>
      </c>
      <c r="G65" s="1">
        <v>1068155</v>
      </c>
      <c r="H65" s="1">
        <v>7004883</v>
      </c>
      <c r="I65" s="1">
        <v>7928520</v>
      </c>
      <c r="J65" s="1">
        <v>9570286</v>
      </c>
      <c r="K65" s="1">
        <v>14448895</v>
      </c>
      <c r="L65" s="1">
        <v>19324378</v>
      </c>
      <c r="M65" s="1">
        <v>24713556</v>
      </c>
      <c r="N65" s="1">
        <v>318437172</v>
      </c>
      <c r="O65" s="1">
        <v>339122000</v>
      </c>
      <c r="P65" s="1">
        <v>361980000</v>
      </c>
      <c r="Q65" s="1">
        <v>379376000</v>
      </c>
      <c r="R65" s="1">
        <v>736595000</v>
      </c>
      <c r="S65" s="1">
        <v>947408000</v>
      </c>
      <c r="T65" s="1">
        <v>1238874000</v>
      </c>
      <c r="U65" s="1">
        <v>2732765000</v>
      </c>
      <c r="V65" s="1">
        <v>3347000000</v>
      </c>
    </row>
    <row r="66" spans="1:22" ht="19" x14ac:dyDescent="0.25">
      <c r="A66" s="5" t="s">
        <v>57</v>
      </c>
      <c r="B66" s="1" t="s">
        <v>91</v>
      </c>
      <c r="C66" s="1">
        <v>64100000</v>
      </c>
      <c r="D66" s="1">
        <v>65000000</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row>
    <row r="67" spans="1:22" ht="19" x14ac:dyDescent="0.25">
      <c r="A67" s="6" t="s">
        <v>58</v>
      </c>
      <c r="B67" s="10" t="s">
        <v>91</v>
      </c>
      <c r="C67" s="10">
        <v>64100000</v>
      </c>
      <c r="D67" s="10">
        <v>65000000</v>
      </c>
      <c r="E67" s="10">
        <v>86826593</v>
      </c>
      <c r="F67" s="10">
        <v>94540779</v>
      </c>
      <c r="G67" s="10">
        <v>42819661</v>
      </c>
      <c r="H67" s="10">
        <v>63314768</v>
      </c>
      <c r="I67" s="10">
        <v>68421412</v>
      </c>
      <c r="J67" s="10">
        <v>97964753</v>
      </c>
      <c r="K67" s="10">
        <v>132752420</v>
      </c>
      <c r="L67" s="10">
        <v>188855650</v>
      </c>
      <c r="M67" s="10">
        <v>248879165</v>
      </c>
      <c r="N67" s="10">
        <v>611059325</v>
      </c>
      <c r="O67" s="10">
        <v>664148000</v>
      </c>
      <c r="P67" s="10">
        <v>938581000</v>
      </c>
      <c r="Q67" s="10">
        <v>1347408000</v>
      </c>
      <c r="R67" s="10">
        <v>1902819000</v>
      </c>
      <c r="S67" s="10">
        <v>2699728000</v>
      </c>
      <c r="T67" s="10">
        <v>4874754000</v>
      </c>
      <c r="U67" s="10">
        <v>8569467000</v>
      </c>
      <c r="V67" s="10">
        <v>11909000000</v>
      </c>
    </row>
    <row r="68" spans="1:22" ht="19" x14ac:dyDescent="0.25">
      <c r="A68" s="5" t="s">
        <v>59</v>
      </c>
      <c r="B68" s="1" t="s">
        <v>91</v>
      </c>
      <c r="C68" s="1">
        <v>100000</v>
      </c>
      <c r="D68" s="1" t="s">
        <v>91</v>
      </c>
      <c r="E68" s="1">
        <v>130959</v>
      </c>
      <c r="F68" s="1">
        <v>131670</v>
      </c>
      <c r="G68" s="1">
        <v>44227</v>
      </c>
      <c r="H68" s="1">
        <v>44071</v>
      </c>
      <c r="I68" s="1">
        <v>44120</v>
      </c>
      <c r="J68" s="1">
        <v>44131</v>
      </c>
      <c r="K68" s="1">
        <v>44142</v>
      </c>
      <c r="L68" s="1">
        <v>44151</v>
      </c>
      <c r="M68" s="1">
        <v>44153</v>
      </c>
      <c r="N68" s="1">
        <v>44154</v>
      </c>
      <c r="O68" s="1">
        <v>44000</v>
      </c>
      <c r="P68" s="1">
        <v>44000</v>
      </c>
      <c r="Q68" s="1">
        <v>44000</v>
      </c>
      <c r="R68" s="1">
        <v>45000</v>
      </c>
      <c r="S68" s="1">
        <v>50000</v>
      </c>
      <c r="T68" s="1">
        <v>50000</v>
      </c>
      <c r="U68" s="1">
        <v>50000</v>
      </c>
      <c r="V68" s="1" t="s">
        <v>91</v>
      </c>
    </row>
    <row r="69" spans="1:22" ht="19" x14ac:dyDescent="0.25">
      <c r="A69" s="5" t="s">
        <v>60</v>
      </c>
      <c r="B69" s="1" t="s">
        <v>91</v>
      </c>
      <c r="C69" s="1" t="s">
        <v>91</v>
      </c>
      <c r="D69" s="1" t="s">
        <v>91</v>
      </c>
      <c r="E69" s="1">
        <v>-45126900</v>
      </c>
      <c r="F69" s="1">
        <v>-44054817</v>
      </c>
      <c r="G69" s="1">
        <v>-34363917</v>
      </c>
      <c r="H69" s="1">
        <v>-15552256</v>
      </c>
      <c r="I69" s="1">
        <v>17656537</v>
      </c>
      <c r="J69" s="1">
        <v>73681556</v>
      </c>
      <c r="K69" s="1">
        <v>135726188</v>
      </c>
      <c r="L69" s="1">
        <v>218083844</v>
      </c>
      <c r="M69" s="1">
        <v>310345448</v>
      </c>
      <c r="N69" s="1">
        <v>353173098</v>
      </c>
      <c r="O69" s="1">
        <v>440770000</v>
      </c>
      <c r="P69" s="1">
        <v>550641000</v>
      </c>
      <c r="Q69" s="1">
        <v>537925000</v>
      </c>
      <c r="R69" s="1">
        <v>503432000</v>
      </c>
      <c r="S69" s="1">
        <v>322592000</v>
      </c>
      <c r="T69" s="1">
        <v>314115000</v>
      </c>
      <c r="U69" s="1">
        <v>397419000</v>
      </c>
      <c r="V69" s="1">
        <v>913000000</v>
      </c>
    </row>
    <row r="70" spans="1:22" ht="19" x14ac:dyDescent="0.25">
      <c r="A70" s="5" t="s">
        <v>61</v>
      </c>
      <c r="B70" s="1" t="s">
        <v>91</v>
      </c>
      <c r="C70" s="1" t="s">
        <v>91</v>
      </c>
      <c r="D70" s="1" t="s">
        <v>91</v>
      </c>
      <c r="E70" s="1">
        <v>-560542</v>
      </c>
      <c r="F70" s="1">
        <v>500536</v>
      </c>
      <c r="G70" s="1">
        <v>4102691</v>
      </c>
      <c r="H70" s="1">
        <v>-10874841</v>
      </c>
      <c r="I70" s="1">
        <v>-23765418</v>
      </c>
      <c r="J70" s="1">
        <v>-22399039</v>
      </c>
      <c r="K70" s="1">
        <v>-37043346</v>
      </c>
      <c r="L70" s="1">
        <v>-48783128</v>
      </c>
      <c r="M70" s="1">
        <v>-87455970</v>
      </c>
      <c r="N70" s="1">
        <v>-135073831</v>
      </c>
      <c r="O70" s="1">
        <v>-239279000</v>
      </c>
      <c r="P70" s="1">
        <v>-259813000</v>
      </c>
      <c r="Q70" s="1">
        <v>-282851000</v>
      </c>
      <c r="R70" s="1">
        <v>-391577000</v>
      </c>
      <c r="S70" s="1">
        <v>-406671000</v>
      </c>
      <c r="T70" s="1">
        <v>-468284000</v>
      </c>
      <c r="U70" s="1">
        <v>-515141000</v>
      </c>
      <c r="V70" s="1">
        <v>-464000000</v>
      </c>
    </row>
    <row r="71" spans="1:22" ht="19" x14ac:dyDescent="0.25">
      <c r="A71" s="5" t="s">
        <v>62</v>
      </c>
      <c r="B71" s="1" t="s">
        <v>91</v>
      </c>
      <c r="C71" s="1">
        <v>-36900000</v>
      </c>
      <c r="D71" s="1">
        <v>-40900000</v>
      </c>
      <c r="E71" s="1">
        <v>3149663</v>
      </c>
      <c r="F71" s="1">
        <v>2694404</v>
      </c>
      <c r="G71" s="1">
        <v>121890138</v>
      </c>
      <c r="H71" s="1">
        <v>119807007</v>
      </c>
      <c r="I71" s="1">
        <v>120257998</v>
      </c>
      <c r="J71" s="1">
        <v>120391622</v>
      </c>
      <c r="K71" s="1">
        <v>120452032</v>
      </c>
      <c r="L71" s="1">
        <v>120468759</v>
      </c>
      <c r="M71" s="1">
        <v>120549977</v>
      </c>
      <c r="N71" s="1">
        <v>137644989</v>
      </c>
      <c r="O71" s="1">
        <v>137923000</v>
      </c>
      <c r="P71" s="1">
        <v>137982000</v>
      </c>
      <c r="Q71" s="1">
        <v>70661000</v>
      </c>
      <c r="R71" s="1">
        <v>224800000</v>
      </c>
      <c r="S71" s="1">
        <v>2067149000</v>
      </c>
      <c r="T71" s="1">
        <v>1805697000</v>
      </c>
      <c r="U71" s="1">
        <v>1649363000</v>
      </c>
      <c r="V71" s="1">
        <v>1378000000</v>
      </c>
    </row>
    <row r="72" spans="1:22" ht="19" x14ac:dyDescent="0.25">
      <c r="A72" s="6" t="s">
        <v>63</v>
      </c>
      <c r="B72" s="10" t="s">
        <v>91</v>
      </c>
      <c r="C72" s="10">
        <v>-36800000</v>
      </c>
      <c r="D72" s="10">
        <v>-40900000</v>
      </c>
      <c r="E72" s="10">
        <v>-42406820</v>
      </c>
      <c r="F72" s="10">
        <v>-40728207</v>
      </c>
      <c r="G72" s="10">
        <v>91673139</v>
      </c>
      <c r="H72" s="10">
        <v>93423981</v>
      </c>
      <c r="I72" s="10">
        <v>114193237</v>
      </c>
      <c r="J72" s="10">
        <v>171718270</v>
      </c>
      <c r="K72" s="10">
        <v>219179016</v>
      </c>
      <c r="L72" s="10">
        <v>289813626</v>
      </c>
      <c r="M72" s="10">
        <v>343483608</v>
      </c>
      <c r="N72" s="10">
        <v>355788410</v>
      </c>
      <c r="O72" s="10">
        <v>339458000</v>
      </c>
      <c r="P72" s="10">
        <v>428854000</v>
      </c>
      <c r="Q72" s="10">
        <v>325779000</v>
      </c>
      <c r="R72" s="10">
        <v>336700000</v>
      </c>
      <c r="S72" s="10">
        <v>2081963000</v>
      </c>
      <c r="T72" s="10">
        <v>1651578000</v>
      </c>
      <c r="U72" s="10">
        <v>1531691000</v>
      </c>
      <c r="V72" s="10">
        <v>1827000000</v>
      </c>
    </row>
    <row r="73" spans="1:22" ht="20" thickBot="1" x14ac:dyDescent="0.3">
      <c r="A73" s="7" t="s">
        <v>64</v>
      </c>
      <c r="B73" s="11" t="s">
        <v>91</v>
      </c>
      <c r="C73" s="11">
        <v>27300000</v>
      </c>
      <c r="D73" s="11">
        <v>24100000</v>
      </c>
      <c r="E73" s="11">
        <v>44419773</v>
      </c>
      <c r="F73" s="11">
        <v>53812572</v>
      </c>
      <c r="G73" s="11">
        <v>134492800</v>
      </c>
      <c r="H73" s="11">
        <v>156738749</v>
      </c>
      <c r="I73" s="11">
        <v>182614649</v>
      </c>
      <c r="J73" s="11">
        <v>269683023</v>
      </c>
      <c r="K73" s="11">
        <v>351931436</v>
      </c>
      <c r="L73" s="11">
        <v>478669276</v>
      </c>
      <c r="M73" s="11">
        <v>592362773</v>
      </c>
      <c r="N73" s="11">
        <v>966847735</v>
      </c>
      <c r="O73" s="11">
        <v>1003606000</v>
      </c>
      <c r="P73" s="11">
        <v>1367435000</v>
      </c>
      <c r="Q73" s="11">
        <v>1673187000</v>
      </c>
      <c r="R73" s="11">
        <v>2239519000</v>
      </c>
      <c r="S73" s="11">
        <v>4781691000</v>
      </c>
      <c r="T73" s="11">
        <v>6526332000</v>
      </c>
      <c r="U73" s="11">
        <v>10101158000</v>
      </c>
      <c r="V73" s="11">
        <v>13736000000</v>
      </c>
    </row>
    <row r="74" spans="1:22"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row>
    <row r="75" spans="1:22"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row>
    <row r="76" spans="1:22" ht="19" x14ac:dyDescent="0.25">
      <c r="A76" s="5" t="s">
        <v>66</v>
      </c>
      <c r="B76" s="1" t="s">
        <v>91</v>
      </c>
      <c r="C76" s="1">
        <v>-2500000</v>
      </c>
      <c r="D76" s="1">
        <v>-3200000</v>
      </c>
      <c r="E76" s="1">
        <v>2354136</v>
      </c>
      <c r="F76" s="1">
        <v>1072083</v>
      </c>
      <c r="G76" s="1">
        <v>9692940</v>
      </c>
      <c r="H76" s="1">
        <v>18811661</v>
      </c>
      <c r="I76" s="1">
        <v>33208793</v>
      </c>
      <c r="J76" s="1">
        <v>56025019</v>
      </c>
      <c r="K76" s="1">
        <v>76780053</v>
      </c>
      <c r="L76" s="1">
        <v>101247298</v>
      </c>
      <c r="M76" s="1">
        <v>117507438</v>
      </c>
      <c r="N76" s="1">
        <v>72580551</v>
      </c>
      <c r="O76" s="1">
        <v>105789000</v>
      </c>
      <c r="P76" s="1">
        <v>136366000</v>
      </c>
      <c r="Q76" s="1">
        <v>13780000</v>
      </c>
      <c r="R76" s="1">
        <v>-36585000</v>
      </c>
      <c r="S76" s="1">
        <v>-171999000</v>
      </c>
      <c r="T76" s="1">
        <v>-707000</v>
      </c>
      <c r="U76" s="1">
        <v>83304000</v>
      </c>
      <c r="V76" s="1">
        <v>482000000</v>
      </c>
    </row>
    <row r="77" spans="1:22" ht="19" x14ac:dyDescent="0.25">
      <c r="A77" s="5" t="s">
        <v>13</v>
      </c>
      <c r="B77" s="1" t="s">
        <v>91</v>
      </c>
      <c r="C77" s="1">
        <v>600000</v>
      </c>
      <c r="D77" s="1">
        <v>800000</v>
      </c>
      <c r="E77" s="1">
        <v>1572497</v>
      </c>
      <c r="F77" s="1">
        <v>2016939</v>
      </c>
      <c r="G77" s="1">
        <v>2307649</v>
      </c>
      <c r="H77" s="1">
        <v>3335673</v>
      </c>
      <c r="I77" s="1">
        <v>3893752</v>
      </c>
      <c r="J77" s="1">
        <v>4921650</v>
      </c>
      <c r="K77" s="1">
        <v>7268075</v>
      </c>
      <c r="L77" s="1">
        <v>8959293</v>
      </c>
      <c r="M77" s="1">
        <v>11878565</v>
      </c>
      <c r="N77" s="1">
        <v>16946897</v>
      </c>
      <c r="O77" s="1">
        <v>23209000</v>
      </c>
      <c r="P77" s="1">
        <v>29022000</v>
      </c>
      <c r="Q77" s="1">
        <v>40921000</v>
      </c>
      <c r="R77" s="1">
        <v>45792000</v>
      </c>
      <c r="S77" s="1">
        <v>73320000</v>
      </c>
      <c r="T77" s="1">
        <v>104992000</v>
      </c>
      <c r="U77" s="1">
        <v>203942000</v>
      </c>
      <c r="V77" s="1">
        <v>403000000</v>
      </c>
    </row>
    <row r="78" spans="1:22" ht="19" x14ac:dyDescent="0.25">
      <c r="A78" s="5" t="s">
        <v>67</v>
      </c>
      <c r="B78" s="1" t="s">
        <v>91</v>
      </c>
      <c r="C78" s="1" t="s">
        <v>91</v>
      </c>
      <c r="D78" s="1" t="s">
        <v>91</v>
      </c>
      <c r="E78" s="1">
        <v>-2003829</v>
      </c>
      <c r="F78" s="1">
        <v>-1291549</v>
      </c>
      <c r="G78" s="1">
        <v>-198368</v>
      </c>
      <c r="H78" s="1">
        <v>446287</v>
      </c>
      <c r="I78" s="1">
        <v>-3607292</v>
      </c>
      <c r="J78" s="1">
        <v>-7053030</v>
      </c>
      <c r="K78" s="1">
        <v>1022797</v>
      </c>
      <c r="L78" s="1">
        <v>-492362</v>
      </c>
      <c r="M78" s="1">
        <v>-7847513</v>
      </c>
      <c r="N78" s="1">
        <v>-20236973</v>
      </c>
      <c r="O78" s="1">
        <v>4354000</v>
      </c>
      <c r="P78" s="1">
        <v>-6188000</v>
      </c>
      <c r="Q78" s="1">
        <v>-24575000</v>
      </c>
      <c r="R78" s="1">
        <v>-92585000</v>
      </c>
      <c r="S78" s="1">
        <v>16453000</v>
      </c>
      <c r="T78" s="1">
        <v>-70315000</v>
      </c>
      <c r="U78" s="1">
        <v>-29481000</v>
      </c>
      <c r="V78" s="1">
        <v>-97000000</v>
      </c>
    </row>
    <row r="79" spans="1:22" ht="19" x14ac:dyDescent="0.25">
      <c r="A79" s="5" t="s">
        <v>68</v>
      </c>
      <c r="B79" s="1" t="s">
        <v>91</v>
      </c>
      <c r="C79" s="1" t="s">
        <v>91</v>
      </c>
      <c r="D79" s="1" t="s">
        <v>91</v>
      </c>
      <c r="E79" s="1" t="s">
        <v>91</v>
      </c>
      <c r="F79" s="1" t="s">
        <v>91</v>
      </c>
      <c r="G79" s="1" t="s">
        <v>91</v>
      </c>
      <c r="H79" s="1">
        <v>949582</v>
      </c>
      <c r="I79" s="1">
        <v>76134</v>
      </c>
      <c r="J79" s="1">
        <v>37940</v>
      </c>
      <c r="K79" s="1" t="s">
        <v>91</v>
      </c>
      <c r="L79" s="1">
        <v>4442822</v>
      </c>
      <c r="M79" s="1">
        <v>11645077</v>
      </c>
      <c r="N79" s="1">
        <v>11851615</v>
      </c>
      <c r="O79" s="1">
        <v>10213000</v>
      </c>
      <c r="P79" s="1">
        <v>22983000</v>
      </c>
      <c r="Q79" s="1">
        <v>35719000</v>
      </c>
      <c r="R79" s="1">
        <v>27525000</v>
      </c>
      <c r="S79" s="1">
        <v>52057000</v>
      </c>
      <c r="T79" s="1">
        <v>130305000</v>
      </c>
      <c r="U79" s="1">
        <v>89453000</v>
      </c>
      <c r="V79" s="1">
        <v>1000000</v>
      </c>
    </row>
    <row r="80" spans="1:22" ht="19" x14ac:dyDescent="0.25">
      <c r="A80" s="14" t="s">
        <v>103</v>
      </c>
      <c r="B80" s="15" t="e">
        <f t="shared" ref="B80:V80" si="18">B79/B3</f>
        <v>#VALUE!</v>
      </c>
      <c r="C80" s="15" t="e">
        <f t="shared" si="18"/>
        <v>#VALUE!</v>
      </c>
      <c r="D80" s="15" t="e">
        <f t="shared" si="18"/>
        <v>#VALUE!</v>
      </c>
      <c r="E80" s="15" t="e">
        <f t="shared" si="18"/>
        <v>#VALUE!</v>
      </c>
      <c r="F80" s="15" t="e">
        <f t="shared" si="18"/>
        <v>#VALUE!</v>
      </c>
      <c r="G80" s="15" t="e">
        <f t="shared" si="18"/>
        <v>#VALUE!</v>
      </c>
      <c r="H80" s="15">
        <f t="shared" si="18"/>
        <v>6.9301112473254415E-3</v>
      </c>
      <c r="I80" s="15">
        <f t="shared" si="18"/>
        <v>4.4047908484861004E-4</v>
      </c>
      <c r="J80" s="15">
        <f t="shared" si="18"/>
        <v>1.750680625543751E-4</v>
      </c>
      <c r="K80" s="15" t="e">
        <f t="shared" si="18"/>
        <v>#VALUE!</v>
      </c>
      <c r="L80" s="15">
        <f t="shared" si="18"/>
        <v>1.1891874286776809E-2</v>
      </c>
      <c r="M80" s="15">
        <f t="shared" si="18"/>
        <v>2.4640726563868492E-2</v>
      </c>
      <c r="N80" s="15">
        <f t="shared" si="18"/>
        <v>2.1295324933893495E-2</v>
      </c>
      <c r="O80" s="15">
        <f t="shared" si="18"/>
        <v>1.5669157243897575E-2</v>
      </c>
      <c r="P80" s="15">
        <f t="shared" si="18"/>
        <v>2.7218271995603959E-2</v>
      </c>
      <c r="Q80" s="15">
        <f t="shared" si="18"/>
        <v>2.554833541354486E-2</v>
      </c>
      <c r="R80" s="15">
        <f t="shared" si="18"/>
        <v>1.9119190527161753E-2</v>
      </c>
      <c r="S80" s="15">
        <f t="shared" si="18"/>
        <v>2.266980909405247E-2</v>
      </c>
      <c r="T80" s="15">
        <f t="shared" si="18"/>
        <v>3.2793795843174663E-2</v>
      </c>
      <c r="U80" s="15">
        <f t="shared" si="18"/>
        <v>1.2653532989815697E-2</v>
      </c>
      <c r="V80" s="15">
        <f t="shared" si="18"/>
        <v>9.4903672772136282E-5</v>
      </c>
    </row>
    <row r="81" spans="1:30" ht="19" x14ac:dyDescent="0.25">
      <c r="A81" s="5" t="s">
        <v>69</v>
      </c>
      <c r="B81" s="1" t="s">
        <v>91</v>
      </c>
      <c r="C81" s="1" t="s">
        <v>91</v>
      </c>
      <c r="D81" s="1" t="s">
        <v>91</v>
      </c>
      <c r="E81" s="1">
        <v>1659888</v>
      </c>
      <c r="F81" s="1">
        <v>3192468</v>
      </c>
      <c r="G81" s="1">
        <v>-7042798</v>
      </c>
      <c r="H81" s="1">
        <v>39705425</v>
      </c>
      <c r="I81" s="1">
        <v>13991572</v>
      </c>
      <c r="J81" s="1">
        <v>10990682</v>
      </c>
      <c r="K81" s="1">
        <v>3436733</v>
      </c>
      <c r="L81" s="1">
        <v>28174224</v>
      </c>
      <c r="M81" s="1">
        <v>1299828</v>
      </c>
      <c r="N81" s="1">
        <v>43748149</v>
      </c>
      <c r="O81" s="1">
        <v>32687000</v>
      </c>
      <c r="P81" s="1">
        <v>-18370000</v>
      </c>
      <c r="Q81" s="1">
        <v>72893000</v>
      </c>
      <c r="R81" s="1">
        <v>265299000</v>
      </c>
      <c r="S81" s="1">
        <v>354924000</v>
      </c>
      <c r="T81" s="1">
        <v>772828000</v>
      </c>
      <c r="U81" s="1">
        <v>-312000</v>
      </c>
      <c r="V81" s="1">
        <v>2151000000</v>
      </c>
    </row>
    <row r="82" spans="1:30" ht="19" x14ac:dyDescent="0.25">
      <c r="A82" s="5" t="s">
        <v>70</v>
      </c>
      <c r="B82" s="1" t="s">
        <v>91</v>
      </c>
      <c r="C82" s="1" t="s">
        <v>91</v>
      </c>
      <c r="D82" s="1" t="s">
        <v>91</v>
      </c>
      <c r="E82" s="1" t="s">
        <v>91</v>
      </c>
      <c r="F82" s="1" t="s">
        <v>91</v>
      </c>
      <c r="G82" s="1" t="s">
        <v>91</v>
      </c>
      <c r="H82" s="1">
        <v>4026218</v>
      </c>
      <c r="I82" s="1">
        <v>-2974890</v>
      </c>
      <c r="J82" s="1">
        <v>-7063942</v>
      </c>
      <c r="K82" s="1">
        <v>-9274653</v>
      </c>
      <c r="L82" s="1">
        <v>-8651951</v>
      </c>
      <c r="M82" s="1">
        <v>-22764177</v>
      </c>
      <c r="N82" s="1">
        <v>-36119868</v>
      </c>
      <c r="O82" s="1">
        <v>-36476000</v>
      </c>
      <c r="P82" s="1">
        <v>-15428000</v>
      </c>
      <c r="Q82" s="1">
        <v>-21817000</v>
      </c>
      <c r="R82" s="1">
        <v>-27105000</v>
      </c>
      <c r="S82" s="1">
        <v>-507000</v>
      </c>
      <c r="T82" s="1">
        <v>12069000</v>
      </c>
      <c r="U82" s="1">
        <v>-26331000</v>
      </c>
      <c r="V82" s="1">
        <v>-71000000</v>
      </c>
    </row>
    <row r="83" spans="1:30" ht="19"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v>-237000</v>
      </c>
      <c r="P83" s="1">
        <v>-787000</v>
      </c>
      <c r="Q83" s="1">
        <v>-1549000</v>
      </c>
      <c r="R83" s="1">
        <v>-3015000</v>
      </c>
      <c r="S83" s="1">
        <v>-4148000</v>
      </c>
      <c r="T83" s="1">
        <v>-106981000</v>
      </c>
      <c r="U83" s="1">
        <v>-142382000</v>
      </c>
      <c r="V83" s="1">
        <v>114000000</v>
      </c>
    </row>
    <row r="84" spans="1:30" ht="19" customHeight="1" x14ac:dyDescent="0.25">
      <c r="A84" s="5" t="s">
        <v>47</v>
      </c>
      <c r="B84" s="1" t="s">
        <v>91</v>
      </c>
      <c r="C84" s="1" t="s">
        <v>91</v>
      </c>
      <c r="D84" s="1" t="s">
        <v>91</v>
      </c>
      <c r="E84" s="1" t="s">
        <v>91</v>
      </c>
      <c r="F84" s="1" t="s">
        <v>91</v>
      </c>
      <c r="G84" s="1" t="s">
        <v>91</v>
      </c>
      <c r="H84" s="1" t="s">
        <v>91</v>
      </c>
      <c r="I84" s="1" t="s">
        <v>91</v>
      </c>
      <c r="J84" s="1" t="s">
        <v>91</v>
      </c>
      <c r="K84" s="1" t="s">
        <v>91</v>
      </c>
      <c r="L84" s="1">
        <v>18061683</v>
      </c>
      <c r="M84" s="1">
        <v>26037488</v>
      </c>
      <c r="N84" s="1">
        <v>68780586</v>
      </c>
      <c r="O84" s="1">
        <v>63668000</v>
      </c>
      <c r="P84" s="1">
        <v>47980000</v>
      </c>
      <c r="Q84" s="1">
        <v>150215000</v>
      </c>
      <c r="R84" s="1">
        <v>90123000</v>
      </c>
      <c r="S84" s="1">
        <v>143495000</v>
      </c>
      <c r="T84" s="1">
        <v>584281000</v>
      </c>
      <c r="U84" s="1">
        <v>688845000</v>
      </c>
      <c r="V84" s="1" t="s">
        <v>91</v>
      </c>
      <c r="W84" s="44"/>
      <c r="X84" s="44"/>
      <c r="Y84" s="44"/>
      <c r="Z84" s="44"/>
      <c r="AA84" s="44"/>
      <c r="AB84" s="44"/>
      <c r="AC84" s="70" t="s">
        <v>125</v>
      </c>
      <c r="AD84" s="71"/>
    </row>
    <row r="85" spans="1:30" ht="19" customHeight="1" x14ac:dyDescent="0.25">
      <c r="A85" s="5" t="s">
        <v>71</v>
      </c>
      <c r="B85" s="1" t="s">
        <v>91</v>
      </c>
      <c r="C85" s="1" t="s">
        <v>91</v>
      </c>
      <c r="D85" s="1" t="s">
        <v>91</v>
      </c>
      <c r="E85" s="1">
        <v>-33456</v>
      </c>
      <c r="F85" s="1">
        <v>227111</v>
      </c>
      <c r="G85" s="1">
        <v>-278110</v>
      </c>
      <c r="H85" s="1">
        <v>-1277664</v>
      </c>
      <c r="I85" s="1">
        <v>-2911041</v>
      </c>
      <c r="J85" s="1">
        <v>-3796601</v>
      </c>
      <c r="K85" s="1">
        <v>-6042140</v>
      </c>
      <c r="L85" s="1" t="s">
        <v>91</v>
      </c>
      <c r="M85" s="1" t="s">
        <v>91</v>
      </c>
      <c r="N85" s="1" t="s">
        <v>91</v>
      </c>
      <c r="O85" s="1" t="s">
        <v>91</v>
      </c>
      <c r="P85" s="1" t="s">
        <v>91</v>
      </c>
      <c r="Q85" s="1" t="s">
        <v>91</v>
      </c>
      <c r="R85" s="1" t="s">
        <v>91</v>
      </c>
      <c r="S85" s="1" t="s">
        <v>91</v>
      </c>
      <c r="T85" s="1" t="s">
        <v>91</v>
      </c>
      <c r="U85" s="1" t="s">
        <v>91</v>
      </c>
      <c r="V85" s="1" t="s">
        <v>91</v>
      </c>
      <c r="W85" s="44"/>
      <c r="X85" s="44"/>
      <c r="Y85" s="44"/>
      <c r="Z85" s="44"/>
      <c r="AA85" s="44"/>
      <c r="AB85" s="44"/>
      <c r="AC85" s="73" t="s">
        <v>126</v>
      </c>
      <c r="AD85" s="73"/>
    </row>
    <row r="86" spans="1:30" ht="20" x14ac:dyDescent="0.25">
      <c r="A86" s="5" t="s">
        <v>72</v>
      </c>
      <c r="B86" s="1" t="s">
        <v>91</v>
      </c>
      <c r="C86" s="1">
        <v>1900000</v>
      </c>
      <c r="D86" s="1">
        <v>2400000</v>
      </c>
      <c r="E86" s="1">
        <v>-144088</v>
      </c>
      <c r="F86" s="1">
        <v>1168413</v>
      </c>
      <c r="G86" s="1">
        <v>2003160</v>
      </c>
      <c r="H86" s="1">
        <v>-8701487</v>
      </c>
      <c r="I86" s="1">
        <v>2138027</v>
      </c>
      <c r="J86" s="1">
        <v>2974192</v>
      </c>
      <c r="K86" s="1">
        <v>917973</v>
      </c>
      <c r="L86" s="1">
        <v>-2439886</v>
      </c>
      <c r="M86" s="1">
        <v>8029966</v>
      </c>
      <c r="N86" s="1">
        <v>71903045</v>
      </c>
      <c r="O86" s="1">
        <v>45118000</v>
      </c>
      <c r="P86" s="1">
        <v>26446000</v>
      </c>
      <c r="Q86" s="1">
        <v>130272000</v>
      </c>
      <c r="R86" s="1">
        <v>21461000</v>
      </c>
      <c r="S86" s="1">
        <v>126336000</v>
      </c>
      <c r="T86" s="1">
        <v>245449000</v>
      </c>
      <c r="U86" s="1">
        <v>618137000</v>
      </c>
      <c r="V86" s="1" t="s">
        <v>91</v>
      </c>
      <c r="W86" s="44"/>
      <c r="X86" s="44"/>
      <c r="Y86" s="44"/>
      <c r="Z86" s="44"/>
      <c r="AA86" s="44"/>
      <c r="AB86" s="44"/>
      <c r="AC86" s="37" t="s">
        <v>127</v>
      </c>
      <c r="AD86" s="45">
        <f>V17</f>
        <v>321000000</v>
      </c>
    </row>
    <row r="87" spans="1:30" ht="20" x14ac:dyDescent="0.25">
      <c r="A87" s="6" t="s">
        <v>73</v>
      </c>
      <c r="B87" s="10" t="s">
        <v>91</v>
      </c>
      <c r="C87" s="10" t="s">
        <v>91</v>
      </c>
      <c r="D87" s="10" t="s">
        <v>91</v>
      </c>
      <c r="E87" s="10">
        <v>3438604</v>
      </c>
      <c r="F87" s="10">
        <v>6158354</v>
      </c>
      <c r="G87" s="10">
        <v>6762583</v>
      </c>
      <c r="H87" s="10">
        <v>54547141</v>
      </c>
      <c r="I87" s="10">
        <v>49700986</v>
      </c>
      <c r="J87" s="10">
        <v>67896453</v>
      </c>
      <c r="K87" s="10">
        <v>89425631</v>
      </c>
      <c r="L87" s="10">
        <v>139891389</v>
      </c>
      <c r="M87" s="10">
        <v>142513361</v>
      </c>
      <c r="N87" s="10">
        <v>196793284</v>
      </c>
      <c r="O87" s="10">
        <v>221370000</v>
      </c>
      <c r="P87" s="10">
        <v>190259000</v>
      </c>
      <c r="Q87" s="10">
        <v>269010000</v>
      </c>
      <c r="R87" s="10">
        <v>230907000</v>
      </c>
      <c r="S87" s="10">
        <v>451091000</v>
      </c>
      <c r="T87" s="10">
        <v>1182552000</v>
      </c>
      <c r="U87" s="10">
        <v>965043000</v>
      </c>
      <c r="V87" s="10">
        <v>2940000000</v>
      </c>
      <c r="W87" s="44"/>
      <c r="X87" s="44"/>
      <c r="Y87" s="44"/>
      <c r="Z87" s="44"/>
      <c r="AA87" s="44"/>
      <c r="AB87" s="44"/>
      <c r="AC87" s="37" t="s">
        <v>128</v>
      </c>
      <c r="AD87" s="45">
        <f>V56</f>
        <v>142000000</v>
      </c>
    </row>
    <row r="88" spans="1:30" ht="20" x14ac:dyDescent="0.25">
      <c r="A88" s="5" t="s">
        <v>74</v>
      </c>
      <c r="B88" s="1" t="s">
        <v>91</v>
      </c>
      <c r="C88" s="1" t="s">
        <v>91</v>
      </c>
      <c r="D88" s="1" t="s">
        <v>91</v>
      </c>
      <c r="E88" s="1">
        <v>-2004603</v>
      </c>
      <c r="F88" s="1">
        <v>-2443920</v>
      </c>
      <c r="G88" s="1">
        <v>-3087561</v>
      </c>
      <c r="H88" s="1">
        <v>-4904991</v>
      </c>
      <c r="I88" s="1">
        <v>-3798170</v>
      </c>
      <c r="J88" s="1">
        <v>-13214043</v>
      </c>
      <c r="K88" s="1">
        <v>-18924161</v>
      </c>
      <c r="L88" s="1">
        <v>-16747746</v>
      </c>
      <c r="M88" s="1">
        <v>-113755566</v>
      </c>
      <c r="N88" s="1">
        <v>-34425957</v>
      </c>
      <c r="O88" s="1">
        <v>-62530000</v>
      </c>
      <c r="P88" s="1">
        <v>-76939000</v>
      </c>
      <c r="Q88" s="1">
        <v>-74851000</v>
      </c>
      <c r="R88" s="1">
        <v>-97562000</v>
      </c>
      <c r="S88" s="1">
        <v>-136798000</v>
      </c>
      <c r="T88" s="1">
        <v>-247048000</v>
      </c>
      <c r="U88" s="1">
        <v>-572929000</v>
      </c>
      <c r="V88" s="1">
        <v>-454000000</v>
      </c>
      <c r="W88" s="44"/>
      <c r="X88" s="44"/>
      <c r="Y88" s="44"/>
      <c r="Z88" s="44"/>
      <c r="AA88" s="44"/>
      <c r="AB88" s="44"/>
      <c r="AC88" s="37" t="s">
        <v>129</v>
      </c>
      <c r="AD88" s="45">
        <f>V61</f>
        <v>514000000</v>
      </c>
    </row>
    <row r="89" spans="1:30" ht="20" customHeight="1" x14ac:dyDescent="0.25">
      <c r="A89" s="14" t="s">
        <v>104</v>
      </c>
      <c r="B89" s="15" t="e">
        <f t="shared" ref="B89:V89" si="19">(-1*B88)/B3</f>
        <v>#VALUE!</v>
      </c>
      <c r="C89" s="15" t="e">
        <f t="shared" si="19"/>
        <v>#VALUE!</v>
      </c>
      <c r="D89" s="15" t="e">
        <f t="shared" si="19"/>
        <v>#VALUE!</v>
      </c>
      <c r="E89" s="15">
        <f t="shared" si="19"/>
        <v>7.0960209562750051E-2</v>
      </c>
      <c r="F89" s="15">
        <f t="shared" si="19"/>
        <v>4.6945295990752013E-2</v>
      </c>
      <c r="G89" s="15">
        <f t="shared" si="19"/>
        <v>3.6270336111357118E-2</v>
      </c>
      <c r="H89" s="15">
        <f t="shared" si="19"/>
        <v>3.5796943599531228E-2</v>
      </c>
      <c r="I89" s="15">
        <f t="shared" si="19"/>
        <v>2.1974603274482429E-2</v>
      </c>
      <c r="J89" s="15">
        <f t="shared" si="19"/>
        <v>6.0974088205593101E-2</v>
      </c>
      <c r="K89" s="15">
        <f t="shared" si="19"/>
        <v>6.3305985106125853E-2</v>
      </c>
      <c r="L89" s="15">
        <f t="shared" si="19"/>
        <v>4.4827834655286468E-2</v>
      </c>
      <c r="M89" s="15">
        <f t="shared" si="19"/>
        <v>0.24070427331000863</v>
      </c>
      <c r="N89" s="15">
        <f t="shared" si="19"/>
        <v>6.1857556162197749E-2</v>
      </c>
      <c r="O89" s="15">
        <f t="shared" si="19"/>
        <v>9.5935807545375049E-2</v>
      </c>
      <c r="P89" s="15">
        <f t="shared" si="19"/>
        <v>9.1117200934158857E-2</v>
      </c>
      <c r="Q89" s="15">
        <f t="shared" si="19"/>
        <v>5.3537849716936259E-2</v>
      </c>
      <c r="R89" s="15">
        <f t="shared" si="19"/>
        <v>6.7767719026737699E-2</v>
      </c>
      <c r="S89" s="15">
        <f t="shared" si="19"/>
        <v>5.9572863293086226E-2</v>
      </c>
      <c r="T89" s="15">
        <f t="shared" si="19"/>
        <v>6.2174449756069325E-2</v>
      </c>
      <c r="U89" s="15">
        <f t="shared" si="19"/>
        <v>8.1043408296223918E-2</v>
      </c>
      <c r="V89" s="15">
        <f t="shared" si="19"/>
        <v>4.3086267438549875E-2</v>
      </c>
      <c r="W89" s="44"/>
      <c r="X89" s="44"/>
      <c r="Y89" s="44"/>
      <c r="Z89" s="44"/>
      <c r="AA89" s="44"/>
      <c r="AB89" s="44"/>
      <c r="AC89" s="38" t="s">
        <v>130</v>
      </c>
      <c r="AD89" s="46">
        <f>AD86/(AD87+AD88)</f>
        <v>0.48932926829268292</v>
      </c>
    </row>
    <row r="90" spans="1:30" ht="20" x14ac:dyDescent="0.25">
      <c r="A90" s="5" t="s">
        <v>75</v>
      </c>
      <c r="B90" s="1" t="s">
        <v>91</v>
      </c>
      <c r="C90" s="1" t="s">
        <v>91</v>
      </c>
      <c r="D90" s="1" t="s">
        <v>91</v>
      </c>
      <c r="E90" s="1">
        <v>-12141243</v>
      </c>
      <c r="F90" s="1" t="s">
        <v>91</v>
      </c>
      <c r="G90" s="1" t="s">
        <v>91</v>
      </c>
      <c r="H90" s="1">
        <v>-39181473</v>
      </c>
      <c r="I90" s="1" t="s">
        <v>91</v>
      </c>
      <c r="J90" s="1" t="s">
        <v>91</v>
      </c>
      <c r="K90" s="1">
        <v>-5468180</v>
      </c>
      <c r="L90" s="1" t="s">
        <v>91</v>
      </c>
      <c r="M90" s="1">
        <v>-3423439</v>
      </c>
      <c r="N90" s="1">
        <v>-40814136</v>
      </c>
      <c r="O90" s="1">
        <v>-45009000</v>
      </c>
      <c r="P90" s="1">
        <v>-7284000</v>
      </c>
      <c r="Q90" s="1">
        <v>-35798000</v>
      </c>
      <c r="R90" s="1">
        <v>-4195000</v>
      </c>
      <c r="S90" s="1" t="s">
        <v>91</v>
      </c>
      <c r="T90" s="1">
        <v>-6937000</v>
      </c>
      <c r="U90" s="1">
        <v>-55728000</v>
      </c>
      <c r="V90" s="1" t="s">
        <v>91</v>
      </c>
      <c r="W90" s="44"/>
      <c r="X90" s="44"/>
      <c r="Y90" s="44"/>
      <c r="Z90" s="44"/>
      <c r="AA90" s="44"/>
      <c r="AB90" s="44"/>
      <c r="AC90" s="37" t="s">
        <v>105</v>
      </c>
      <c r="AD90" s="45">
        <f>V27</f>
        <v>298000000</v>
      </c>
    </row>
    <row r="91" spans="1:30" ht="20" x14ac:dyDescent="0.25">
      <c r="A91" s="5" t="s">
        <v>76</v>
      </c>
      <c r="B91" s="1" t="s">
        <v>91</v>
      </c>
      <c r="C91" s="1" t="s">
        <v>91</v>
      </c>
      <c r="D91" s="1" t="s">
        <v>91</v>
      </c>
      <c r="E91" s="1" t="s">
        <v>91</v>
      </c>
      <c r="F91" s="1">
        <v>-4944956</v>
      </c>
      <c r="G91" s="1">
        <v>-75267070</v>
      </c>
      <c r="H91" s="1">
        <v>-110056368</v>
      </c>
      <c r="I91" s="1">
        <v>-80060909</v>
      </c>
      <c r="J91" s="1">
        <v>-121266157</v>
      </c>
      <c r="K91" s="1">
        <v>-379044395</v>
      </c>
      <c r="L91" s="1">
        <v>-539355434</v>
      </c>
      <c r="M91" s="1">
        <v>-1135940553</v>
      </c>
      <c r="N91" s="1">
        <v>-2577130038</v>
      </c>
      <c r="O91" s="1">
        <v>-1949769000</v>
      </c>
      <c r="P91" s="1">
        <v>-3501283000</v>
      </c>
      <c r="Q91" s="1">
        <v>-4553649000</v>
      </c>
      <c r="R91" s="1">
        <v>-3176078000</v>
      </c>
      <c r="S91" s="1">
        <v>-4490678000</v>
      </c>
      <c r="T91" s="1">
        <v>-5204011000</v>
      </c>
      <c r="U91" s="1">
        <v>-7390489000</v>
      </c>
      <c r="V91" s="1">
        <v>-12694000000</v>
      </c>
      <c r="W91" s="44"/>
      <c r="X91" s="44"/>
      <c r="Y91" s="44"/>
      <c r="Z91" s="44"/>
      <c r="AA91" s="44"/>
      <c r="AB91" s="44"/>
      <c r="AC91" s="37" t="s">
        <v>19</v>
      </c>
      <c r="AD91" s="45">
        <f>V25</f>
        <v>780000000</v>
      </c>
    </row>
    <row r="92" spans="1:30" ht="20" x14ac:dyDescent="0.25">
      <c r="A92" s="5" t="s">
        <v>77</v>
      </c>
      <c r="B92" s="1" t="s">
        <v>91</v>
      </c>
      <c r="C92" s="1" t="s">
        <v>91</v>
      </c>
      <c r="D92" s="1" t="s">
        <v>91</v>
      </c>
      <c r="E92" s="1">
        <v>1106712</v>
      </c>
      <c r="F92" s="1">
        <v>2184822</v>
      </c>
      <c r="G92" s="1">
        <v>29765780</v>
      </c>
      <c r="H92" s="1">
        <v>116574567</v>
      </c>
      <c r="I92" s="1">
        <v>81728485</v>
      </c>
      <c r="J92" s="1">
        <v>76062629</v>
      </c>
      <c r="K92" s="1">
        <v>336835026</v>
      </c>
      <c r="L92" s="1">
        <v>472871652</v>
      </c>
      <c r="M92" s="1">
        <v>1174789615</v>
      </c>
      <c r="N92" s="1">
        <v>2330835825</v>
      </c>
      <c r="O92" s="1">
        <v>1875516000</v>
      </c>
      <c r="P92" s="1">
        <v>3508293000</v>
      </c>
      <c r="Q92" s="1">
        <v>4713934000</v>
      </c>
      <c r="R92" s="1">
        <v>2662800000</v>
      </c>
      <c r="S92" s="1">
        <v>3353606000</v>
      </c>
      <c r="T92" s="1">
        <v>5550242000</v>
      </c>
      <c r="U92" s="1">
        <v>7806890000</v>
      </c>
      <c r="V92" s="1">
        <v>11023000000</v>
      </c>
      <c r="W92" s="44"/>
      <c r="X92" s="44"/>
      <c r="Y92" s="44"/>
      <c r="Z92" s="44"/>
      <c r="AA92" s="44"/>
      <c r="AB92" s="44"/>
      <c r="AC92" s="38" t="s">
        <v>131</v>
      </c>
      <c r="AD92" s="46">
        <f>AD90/AD91</f>
        <v>0.38205128205128203</v>
      </c>
    </row>
    <row r="93" spans="1:30" ht="19" customHeight="1" x14ac:dyDescent="0.25">
      <c r="A93" s="5" t="s">
        <v>78</v>
      </c>
      <c r="B93" s="1" t="s">
        <v>91</v>
      </c>
      <c r="C93" s="1" t="s">
        <v>91</v>
      </c>
      <c r="D93" s="1" t="s">
        <v>91</v>
      </c>
      <c r="E93" s="1" t="s">
        <v>91</v>
      </c>
      <c r="F93" s="1" t="s">
        <v>91</v>
      </c>
      <c r="G93" s="1" t="s">
        <v>91</v>
      </c>
      <c r="H93" s="1">
        <v>-58238</v>
      </c>
      <c r="I93" s="1">
        <v>-955679</v>
      </c>
      <c r="J93" s="1">
        <v>-416450</v>
      </c>
      <c r="K93" s="1">
        <v>-280706</v>
      </c>
      <c r="L93" s="1">
        <v>-1390654</v>
      </c>
      <c r="M93" s="1">
        <v>-458804</v>
      </c>
      <c r="N93" s="1">
        <v>-856948</v>
      </c>
      <c r="O93" s="1">
        <v>-1746000</v>
      </c>
      <c r="P93" s="1">
        <v>-7030000</v>
      </c>
      <c r="Q93" s="1">
        <v>-72277000</v>
      </c>
      <c r="R93" s="1">
        <v>-57424000</v>
      </c>
      <c r="S93" s="1">
        <v>-173920000</v>
      </c>
      <c r="T93" s="1">
        <v>-344427000</v>
      </c>
      <c r="U93" s="1">
        <v>-1384277000</v>
      </c>
      <c r="V93" s="1">
        <v>-1746000000</v>
      </c>
      <c r="W93" s="44"/>
      <c r="X93" s="44"/>
      <c r="Y93" s="44"/>
      <c r="Z93" s="44"/>
      <c r="AA93" s="44"/>
      <c r="AB93" s="44"/>
      <c r="AC93" s="38" t="s">
        <v>132</v>
      </c>
      <c r="AD93" s="46">
        <f>AD89*(1-AD92)</f>
        <v>0.30238039399624767</v>
      </c>
    </row>
    <row r="94" spans="1:30" ht="19" customHeight="1" x14ac:dyDescent="0.25">
      <c r="A94" s="6" t="s">
        <v>79</v>
      </c>
      <c r="B94" s="10" t="s">
        <v>91</v>
      </c>
      <c r="C94" s="10" t="s">
        <v>91</v>
      </c>
      <c r="D94" s="10" t="s">
        <v>91</v>
      </c>
      <c r="E94" s="10">
        <v>-13039134</v>
      </c>
      <c r="F94" s="10">
        <v>-5204054</v>
      </c>
      <c r="G94" s="10">
        <v>-48588851</v>
      </c>
      <c r="H94" s="10">
        <v>-37626503</v>
      </c>
      <c r="I94" s="10">
        <v>-3086273</v>
      </c>
      <c r="J94" s="10">
        <v>-58834021</v>
      </c>
      <c r="K94" s="10">
        <v>-66882416</v>
      </c>
      <c r="L94" s="10">
        <v>-84622182</v>
      </c>
      <c r="M94" s="10">
        <v>-78788747</v>
      </c>
      <c r="N94" s="10">
        <v>-322391254</v>
      </c>
      <c r="O94" s="10">
        <v>-183538000</v>
      </c>
      <c r="P94" s="10">
        <v>-84243000</v>
      </c>
      <c r="Q94" s="10">
        <v>-22641000</v>
      </c>
      <c r="R94" s="10">
        <v>-672459000</v>
      </c>
      <c r="S94" s="10">
        <v>-1447790000</v>
      </c>
      <c r="T94" s="10">
        <v>-252181000</v>
      </c>
      <c r="U94" s="10">
        <v>-1596533000</v>
      </c>
      <c r="V94" s="10">
        <v>-3871000000</v>
      </c>
      <c r="W94" s="44"/>
      <c r="X94" s="44"/>
      <c r="Y94" s="44"/>
      <c r="Z94" s="44"/>
      <c r="AA94" s="44"/>
      <c r="AB94" s="44"/>
      <c r="AC94" s="73" t="s">
        <v>133</v>
      </c>
      <c r="AD94" s="73"/>
    </row>
    <row r="95" spans="1:30" ht="20" x14ac:dyDescent="0.25">
      <c r="A95" s="5" t="s">
        <v>80</v>
      </c>
      <c r="B95" s="1" t="s">
        <v>91</v>
      </c>
      <c r="C95" s="1" t="s">
        <v>91</v>
      </c>
      <c r="D95" s="1" t="s">
        <v>91</v>
      </c>
      <c r="E95" s="1" t="s">
        <v>91</v>
      </c>
      <c r="F95" s="1" t="s">
        <v>91</v>
      </c>
      <c r="G95" s="1" t="s">
        <v>91</v>
      </c>
      <c r="H95" s="1">
        <v>-9137223</v>
      </c>
      <c r="I95" s="1">
        <v>-15310634</v>
      </c>
      <c r="J95" s="1">
        <v>-3000000</v>
      </c>
      <c r="K95" s="1" t="s">
        <v>91</v>
      </c>
      <c r="L95" s="1" t="s">
        <v>91</v>
      </c>
      <c r="M95" s="1">
        <v>-15936551</v>
      </c>
      <c r="N95" s="1">
        <v>-7704636</v>
      </c>
      <c r="O95" s="1">
        <v>-9059000</v>
      </c>
      <c r="P95" s="1">
        <v>-6684000</v>
      </c>
      <c r="Q95" s="1">
        <v>-5004000</v>
      </c>
      <c r="R95" s="1">
        <v>-472268000</v>
      </c>
      <c r="S95" s="1">
        <v>-474851000</v>
      </c>
      <c r="T95" s="1">
        <v>-1790221000</v>
      </c>
      <c r="U95" s="1">
        <v>-8663212000</v>
      </c>
      <c r="V95" s="1">
        <v>-20000000</v>
      </c>
      <c r="W95" s="44"/>
      <c r="X95" s="44"/>
      <c r="Y95" s="44"/>
      <c r="Z95" s="44"/>
      <c r="AA95" s="44"/>
      <c r="AB95" s="44"/>
      <c r="AC95" s="37" t="s">
        <v>134</v>
      </c>
      <c r="AD95" s="68">
        <f>'[1]US Treasury Bonds'!$C$8</f>
        <v>4.845E-2</v>
      </c>
    </row>
    <row r="96" spans="1:30" ht="20" x14ac:dyDescent="0.25">
      <c r="A96" s="5" t="s">
        <v>81</v>
      </c>
      <c r="B96" s="1" t="s">
        <v>91</v>
      </c>
      <c r="C96" s="1" t="s">
        <v>91</v>
      </c>
      <c r="D96" s="1" t="s">
        <v>91</v>
      </c>
      <c r="E96" s="1">
        <v>9003</v>
      </c>
      <c r="F96" s="1">
        <v>7107</v>
      </c>
      <c r="G96" s="1">
        <v>50361806</v>
      </c>
      <c r="H96" s="1" t="s">
        <v>91</v>
      </c>
      <c r="I96" s="1" t="s">
        <v>91</v>
      </c>
      <c r="J96" s="1" t="s">
        <v>91</v>
      </c>
      <c r="K96" s="1" t="s">
        <v>91</v>
      </c>
      <c r="L96" s="1" t="s">
        <v>91</v>
      </c>
      <c r="M96" s="1" t="s">
        <v>91</v>
      </c>
      <c r="N96" s="1" t="s">
        <v>91</v>
      </c>
      <c r="O96" s="1" t="s">
        <v>91</v>
      </c>
      <c r="P96" s="1" t="s">
        <v>91</v>
      </c>
      <c r="Q96" s="1" t="s">
        <v>91</v>
      </c>
      <c r="R96" s="1" t="s">
        <v>91</v>
      </c>
      <c r="S96" s="1">
        <v>1867215000</v>
      </c>
      <c r="T96" s="1" t="s">
        <v>91</v>
      </c>
      <c r="U96" s="1">
        <v>1519545000</v>
      </c>
      <c r="V96" s="1" t="s">
        <v>91</v>
      </c>
      <c r="W96" s="44"/>
      <c r="X96" s="44"/>
      <c r="Y96" s="44"/>
      <c r="Z96" s="44"/>
      <c r="AA96" s="44"/>
      <c r="AB96" s="44"/>
      <c r="AC96" s="37" t="s">
        <v>135</v>
      </c>
      <c r="AD96" s="48" cm="1">
        <f t="array" ref="AD96">_FV(A1,"Beta")</f>
        <v>1.5367</v>
      </c>
    </row>
    <row r="97" spans="1:30" ht="20" x14ac:dyDescent="0.25">
      <c r="A97" s="5" t="s">
        <v>82</v>
      </c>
      <c r="B97" s="1" t="s">
        <v>91</v>
      </c>
      <c r="C97" s="1" t="s">
        <v>91</v>
      </c>
      <c r="D97" s="1" t="s">
        <v>91</v>
      </c>
      <c r="E97" s="1" t="s">
        <v>91</v>
      </c>
      <c r="F97" s="1" t="s">
        <v>91</v>
      </c>
      <c r="G97" s="1" t="s">
        <v>91</v>
      </c>
      <c r="H97" s="1">
        <v>-2598223</v>
      </c>
      <c r="I97" s="1" t="s">
        <v>91</v>
      </c>
      <c r="J97" s="1" t="s">
        <v>91</v>
      </c>
      <c r="K97" s="1" t="s">
        <v>91</v>
      </c>
      <c r="L97" s="1" t="s">
        <v>91</v>
      </c>
      <c r="M97" s="1">
        <v>-1012225</v>
      </c>
      <c r="N97" s="1">
        <v>-1944307</v>
      </c>
      <c r="O97" s="1">
        <v>-2714000</v>
      </c>
      <c r="P97" s="1" t="s">
        <v>91</v>
      </c>
      <c r="Q97" s="1" t="s">
        <v>91</v>
      </c>
      <c r="R97" s="1" t="s">
        <v>91</v>
      </c>
      <c r="S97" s="1">
        <v>-720000</v>
      </c>
      <c r="T97" s="1">
        <v>-54085000</v>
      </c>
      <c r="U97" s="1">
        <v>-485886000</v>
      </c>
      <c r="V97" s="1">
        <v>-148000000</v>
      </c>
      <c r="W97" s="44"/>
      <c r="X97" s="44"/>
      <c r="Y97" s="44"/>
      <c r="Z97" s="44"/>
      <c r="AA97" s="44"/>
      <c r="AB97" s="44"/>
      <c r="AC97" s="37" t="s">
        <v>136</v>
      </c>
      <c r="AD97" s="47">
        <v>8.4000000000000005E-2</v>
      </c>
    </row>
    <row r="98" spans="1:30" ht="19" customHeight="1" x14ac:dyDescent="0.25">
      <c r="A98" s="5" t="s">
        <v>83</v>
      </c>
      <c r="B98" s="1" t="s">
        <v>91</v>
      </c>
      <c r="C98" s="1" t="s">
        <v>91</v>
      </c>
      <c r="D98" s="1" t="s">
        <v>91</v>
      </c>
      <c r="E98" s="1" t="s">
        <v>91</v>
      </c>
      <c r="F98" s="1" t="s">
        <v>91</v>
      </c>
      <c r="G98" s="1" t="s">
        <v>91</v>
      </c>
      <c r="H98" s="1" t="s">
        <v>91</v>
      </c>
      <c r="I98" s="1" t="s">
        <v>91</v>
      </c>
      <c r="J98" s="1" t="s">
        <v>91</v>
      </c>
      <c r="K98" s="1">
        <v>-10593206</v>
      </c>
      <c r="L98" s="1">
        <v>-17968004</v>
      </c>
      <c r="M98" s="1">
        <v>-23754005</v>
      </c>
      <c r="N98" s="1">
        <v>-28302507</v>
      </c>
      <c r="O98" s="1">
        <v>-20974000</v>
      </c>
      <c r="P98" s="1">
        <v>-24419000</v>
      </c>
      <c r="Q98" s="1">
        <v>-26496000</v>
      </c>
      <c r="R98" s="1">
        <v>-6624000</v>
      </c>
      <c r="S98" s="1">
        <v>-2844000</v>
      </c>
      <c r="T98" s="1">
        <v>-3356000</v>
      </c>
      <c r="U98" s="1" t="s">
        <v>91</v>
      </c>
      <c r="V98" s="1">
        <v>0</v>
      </c>
      <c r="W98" s="44"/>
      <c r="X98" s="44"/>
      <c r="Y98" s="44"/>
      <c r="Z98" s="44"/>
      <c r="AA98" s="44"/>
      <c r="AB98" s="44"/>
      <c r="AC98" s="38" t="s">
        <v>137</v>
      </c>
      <c r="AD98" s="46">
        <f>(AD95)+((AD96)*(AD97-AD95))</f>
        <v>0.103079685</v>
      </c>
    </row>
    <row r="99" spans="1:30" ht="19" customHeight="1" x14ac:dyDescent="0.25">
      <c r="A99" s="5" t="s">
        <v>84</v>
      </c>
      <c r="B99" s="1" t="s">
        <v>91</v>
      </c>
      <c r="C99" s="1" t="s">
        <v>91</v>
      </c>
      <c r="D99" s="1" t="s">
        <v>91</v>
      </c>
      <c r="E99" s="1">
        <v>12002335</v>
      </c>
      <c r="F99" s="1">
        <v>-3002058</v>
      </c>
      <c r="G99" s="1">
        <v>-116896</v>
      </c>
      <c r="H99" s="1">
        <v>83089</v>
      </c>
      <c r="I99" s="1">
        <v>28354</v>
      </c>
      <c r="J99" s="1">
        <v>18199</v>
      </c>
      <c r="K99" s="1">
        <v>11175</v>
      </c>
      <c r="L99" s="1">
        <v>5700</v>
      </c>
      <c r="M99" s="1">
        <v>31456633</v>
      </c>
      <c r="N99" s="1">
        <v>302248375</v>
      </c>
      <c r="O99" s="1">
        <v>5033000</v>
      </c>
      <c r="P99" s="1">
        <v>11435000</v>
      </c>
      <c r="Q99" s="1">
        <v>-19403000</v>
      </c>
      <c r="R99" s="1">
        <v>1087774000</v>
      </c>
      <c r="S99" s="1">
        <v>632212000</v>
      </c>
      <c r="T99" s="1">
        <v>2089928000</v>
      </c>
      <c r="U99" s="1">
        <v>9554536000</v>
      </c>
      <c r="V99" s="1">
        <v>1084000000</v>
      </c>
      <c r="W99" s="44"/>
      <c r="X99" s="44"/>
      <c r="Y99" s="44"/>
      <c r="Z99" s="44"/>
      <c r="AA99" s="44"/>
      <c r="AB99" s="44"/>
      <c r="AC99" s="73" t="s">
        <v>138</v>
      </c>
      <c r="AD99" s="73"/>
    </row>
    <row r="100" spans="1:30" ht="20" x14ac:dyDescent="0.25">
      <c r="A100" s="6" t="s">
        <v>85</v>
      </c>
      <c r="B100" s="10" t="s">
        <v>91</v>
      </c>
      <c r="C100" s="10" t="s">
        <v>91</v>
      </c>
      <c r="D100" s="10" t="s">
        <v>91</v>
      </c>
      <c r="E100" s="10">
        <v>12011338</v>
      </c>
      <c r="F100" s="10">
        <v>-2994951</v>
      </c>
      <c r="G100" s="10">
        <v>50244910</v>
      </c>
      <c r="H100" s="10">
        <v>-11652357</v>
      </c>
      <c r="I100" s="10">
        <v>-15282280</v>
      </c>
      <c r="J100" s="10">
        <v>-2981801</v>
      </c>
      <c r="K100" s="10">
        <v>-10582031</v>
      </c>
      <c r="L100" s="10">
        <v>-17962304</v>
      </c>
      <c r="M100" s="10">
        <v>-9246148</v>
      </c>
      <c r="N100" s="10">
        <v>264296925</v>
      </c>
      <c r="O100" s="10">
        <v>-27714000</v>
      </c>
      <c r="P100" s="10">
        <v>-19668000</v>
      </c>
      <c r="Q100" s="10">
        <v>-50903000</v>
      </c>
      <c r="R100" s="10">
        <v>608882000</v>
      </c>
      <c r="S100" s="10">
        <v>2021012000</v>
      </c>
      <c r="T100" s="10">
        <v>242266000</v>
      </c>
      <c r="U100" s="10">
        <v>1924983000</v>
      </c>
      <c r="V100" s="10">
        <v>916000000</v>
      </c>
      <c r="W100" s="44"/>
      <c r="X100" s="44"/>
      <c r="Y100" s="44"/>
      <c r="Z100" s="44"/>
      <c r="AA100" s="44"/>
      <c r="AB100" s="44"/>
      <c r="AC100" s="37" t="s">
        <v>139</v>
      </c>
      <c r="AD100" s="45">
        <f>AD87+AD88</f>
        <v>656000000</v>
      </c>
    </row>
    <row r="101" spans="1:30" ht="20" x14ac:dyDescent="0.25">
      <c r="A101" s="5" t="s">
        <v>86</v>
      </c>
      <c r="B101" s="1" t="s">
        <v>91</v>
      </c>
      <c r="C101" s="1" t="s">
        <v>91</v>
      </c>
      <c r="D101" s="1" t="s">
        <v>91</v>
      </c>
      <c r="E101" s="1">
        <v>-455328</v>
      </c>
      <c r="F101" s="1">
        <v>203840</v>
      </c>
      <c r="G101" s="1">
        <v>115738</v>
      </c>
      <c r="H101" s="1">
        <v>-3471576</v>
      </c>
      <c r="I101" s="1">
        <v>996857</v>
      </c>
      <c r="J101" s="1">
        <v>946433</v>
      </c>
      <c r="K101" s="1">
        <v>-1409973</v>
      </c>
      <c r="L101" s="1">
        <v>-3199578</v>
      </c>
      <c r="M101" s="1">
        <v>-15682364</v>
      </c>
      <c r="N101" s="1">
        <v>-55839833</v>
      </c>
      <c r="O101" s="1">
        <v>-66381000</v>
      </c>
      <c r="P101" s="1">
        <v>-19089000</v>
      </c>
      <c r="Q101" s="1">
        <v>-41346000</v>
      </c>
      <c r="R101" s="1">
        <v>-90895000</v>
      </c>
      <c r="S101" s="1">
        <v>-37584000</v>
      </c>
      <c r="T101" s="1">
        <v>-115837000</v>
      </c>
      <c r="U101" s="1">
        <v>-153754000</v>
      </c>
      <c r="V101" s="1">
        <v>-270000000</v>
      </c>
      <c r="W101" s="44"/>
      <c r="X101" s="44"/>
      <c r="Y101" s="44"/>
      <c r="Z101" s="44"/>
      <c r="AA101" s="44"/>
      <c r="AB101" s="44"/>
      <c r="AC101" s="38" t="s">
        <v>140</v>
      </c>
      <c r="AD101" s="46">
        <f>AD100/AD104</f>
        <v>1.0791292940010445E-2</v>
      </c>
    </row>
    <row r="102" spans="1:30" ht="20" x14ac:dyDescent="0.25">
      <c r="A102" s="6" t="s">
        <v>87</v>
      </c>
      <c r="B102" s="10" t="s">
        <v>91</v>
      </c>
      <c r="C102" s="10" t="s">
        <v>91</v>
      </c>
      <c r="D102" s="10" t="s">
        <v>91</v>
      </c>
      <c r="E102" s="10">
        <v>1955480</v>
      </c>
      <c r="F102" s="10">
        <v>-1836811</v>
      </c>
      <c r="G102" s="10">
        <v>8534380</v>
      </c>
      <c r="H102" s="10">
        <v>1796705</v>
      </c>
      <c r="I102" s="10">
        <v>32329290</v>
      </c>
      <c r="J102" s="10">
        <v>7027064</v>
      </c>
      <c r="K102" s="10">
        <v>10551211</v>
      </c>
      <c r="L102" s="10">
        <v>34107325</v>
      </c>
      <c r="M102" s="10">
        <v>38796102</v>
      </c>
      <c r="N102" s="10">
        <v>82859122</v>
      </c>
      <c r="O102" s="10">
        <v>-56263000</v>
      </c>
      <c r="P102" s="10">
        <v>67259000</v>
      </c>
      <c r="Q102" s="10">
        <v>154120000</v>
      </c>
      <c r="R102" s="10">
        <v>76435000</v>
      </c>
      <c r="S102" s="10">
        <v>986729000</v>
      </c>
      <c r="T102" s="10">
        <v>1056800000</v>
      </c>
      <c r="U102" s="10">
        <v>1139739000</v>
      </c>
      <c r="V102" s="10">
        <v>-284963000</v>
      </c>
      <c r="W102" s="44"/>
      <c r="X102" s="44"/>
      <c r="Y102" s="44"/>
      <c r="Z102" s="44"/>
      <c r="AA102" s="44"/>
      <c r="AB102" s="44"/>
      <c r="AC102" s="37" t="s">
        <v>141</v>
      </c>
      <c r="AD102" s="49" cm="1">
        <f t="array" ref="AD102">_FV(A1,"Market cap",TRUE)</f>
        <v>60133750000</v>
      </c>
    </row>
    <row r="103" spans="1:30" ht="20" x14ac:dyDescent="0.25">
      <c r="A103" s="5" t="s">
        <v>88</v>
      </c>
      <c r="B103" s="1" t="s">
        <v>91</v>
      </c>
      <c r="C103" s="1" t="s">
        <v>91</v>
      </c>
      <c r="D103" s="1" t="s">
        <v>91</v>
      </c>
      <c r="E103" s="1">
        <v>7024358</v>
      </c>
      <c r="F103" s="1">
        <v>8979838</v>
      </c>
      <c r="G103" s="1">
        <v>7143027</v>
      </c>
      <c r="H103" s="1">
        <v>15677407</v>
      </c>
      <c r="I103" s="1">
        <v>17474112</v>
      </c>
      <c r="J103" s="1">
        <v>49803402</v>
      </c>
      <c r="K103" s="1">
        <v>56830466</v>
      </c>
      <c r="L103" s="1">
        <v>67381677</v>
      </c>
      <c r="M103" s="1">
        <v>101489002</v>
      </c>
      <c r="N103" s="1">
        <v>140285104</v>
      </c>
      <c r="O103" s="1">
        <v>223144000</v>
      </c>
      <c r="P103" s="1">
        <v>166881000</v>
      </c>
      <c r="Q103" s="1">
        <v>234140000</v>
      </c>
      <c r="R103" s="1">
        <v>388260000</v>
      </c>
      <c r="S103" s="1">
        <v>464695000</v>
      </c>
      <c r="T103" s="1">
        <v>1451424000</v>
      </c>
      <c r="U103" s="1">
        <v>2508224000</v>
      </c>
      <c r="V103" s="1">
        <v>3647963000</v>
      </c>
      <c r="W103" s="44"/>
      <c r="X103" s="44"/>
      <c r="Y103" s="44"/>
      <c r="Z103" s="44"/>
      <c r="AA103" s="44"/>
      <c r="AB103" s="44"/>
      <c r="AC103" s="38" t="s">
        <v>142</v>
      </c>
      <c r="AD103" s="46">
        <f>AD102/AD104</f>
        <v>0.98920870705998953</v>
      </c>
    </row>
    <row r="104" spans="1:30" ht="20" customHeight="1" thickBot="1" x14ac:dyDescent="0.3">
      <c r="A104" s="7" t="s">
        <v>89</v>
      </c>
      <c r="B104" s="11" t="s">
        <v>91</v>
      </c>
      <c r="C104" s="11" t="s">
        <v>91</v>
      </c>
      <c r="D104" s="11" t="s">
        <v>91</v>
      </c>
      <c r="E104" s="11">
        <v>8979838</v>
      </c>
      <c r="F104" s="11">
        <v>7143027</v>
      </c>
      <c r="G104" s="11">
        <v>15677407</v>
      </c>
      <c r="H104" s="11">
        <v>17474112</v>
      </c>
      <c r="I104" s="11">
        <v>49803402</v>
      </c>
      <c r="J104" s="11">
        <v>56830466</v>
      </c>
      <c r="K104" s="11">
        <v>67381677</v>
      </c>
      <c r="L104" s="11">
        <v>101489002</v>
      </c>
      <c r="M104" s="11">
        <v>140285104</v>
      </c>
      <c r="N104" s="11">
        <v>223144226</v>
      </c>
      <c r="O104" s="11">
        <v>166881000</v>
      </c>
      <c r="P104" s="11">
        <v>234140000</v>
      </c>
      <c r="Q104" s="11">
        <v>388260000</v>
      </c>
      <c r="R104" s="11">
        <v>464695000</v>
      </c>
      <c r="S104" s="11">
        <v>1451424000</v>
      </c>
      <c r="T104" s="11">
        <v>2508224000</v>
      </c>
      <c r="U104" s="11">
        <v>3647963000</v>
      </c>
      <c r="V104" s="11">
        <v>3363000000</v>
      </c>
      <c r="W104" s="74" t="s">
        <v>163</v>
      </c>
      <c r="X104" s="74"/>
      <c r="Y104" s="74"/>
      <c r="Z104" s="74"/>
      <c r="AA104" s="74"/>
      <c r="AB104" s="44"/>
      <c r="AC104" s="38" t="s">
        <v>143</v>
      </c>
      <c r="AD104" s="50">
        <f>AD100+AD102</f>
        <v>60789750000</v>
      </c>
    </row>
    <row r="105" spans="1:30" ht="21" customHeight="1" thickTop="1" x14ac:dyDescent="0.25">
      <c r="A105" s="14" t="s">
        <v>162</v>
      </c>
      <c r="B105" s="1" t="e">
        <f t="shared" ref="B105" si="20">(B22*(1-J91))+B77+B88+B81</f>
        <v>#VALUE!</v>
      </c>
      <c r="C105" s="1" t="e">
        <f t="shared" ref="C105:V105" si="21">(C22*(1-$AD$92))+C77+C88+C81</f>
        <v>#VALUE!</v>
      </c>
      <c r="D105" s="1" t="e">
        <f t="shared" si="21"/>
        <v>#VALUE!</v>
      </c>
      <c r="E105" s="1">
        <f t="shared" si="21"/>
        <v>1729471.0820512821</v>
      </c>
      <c r="F105" s="1">
        <f t="shared" si="21"/>
        <v>6101130.3051282056</v>
      </c>
      <c r="G105" s="1">
        <f t="shared" si="21"/>
        <v>5113243.0769230779</v>
      </c>
      <c r="H105" s="1">
        <f t="shared" si="21"/>
        <v>61323972.053846151</v>
      </c>
      <c r="I105" s="1">
        <f t="shared" si="21"/>
        <v>48713118.817948721</v>
      </c>
      <c r="J105" s="1">
        <f t="shared" si="21"/>
        <v>48796375.366666667</v>
      </c>
      <c r="K105" s="1">
        <f t="shared" si="21"/>
        <v>53434728.448717952</v>
      </c>
      <c r="L105" s="1">
        <f t="shared" si="21"/>
        <v>100507686.15641026</v>
      </c>
      <c r="M105" s="1">
        <f t="shared" si="21"/>
        <v>-5697910.8076923043</v>
      </c>
      <c r="N105" s="1">
        <f t="shared" si="21"/>
        <v>100713904.34102565</v>
      </c>
      <c r="O105" s="1">
        <f t="shared" si="21"/>
        <v>79381989.743589744</v>
      </c>
      <c r="P105" s="1">
        <f t="shared" si="21"/>
        <v>45596323.076923072</v>
      </c>
      <c r="Q105" s="1">
        <f t="shared" si="21"/>
        <v>73736828.205128208</v>
      </c>
      <c r="R105" s="1">
        <f t="shared" si="21"/>
        <v>170592687.17948717</v>
      </c>
      <c r="S105" s="1">
        <f t="shared" si="21"/>
        <v>196800356.41025639</v>
      </c>
      <c r="T105" s="1">
        <f t="shared" si="21"/>
        <v>709679107.69230771</v>
      </c>
      <c r="U105" s="1">
        <f t="shared" si="21"/>
        <v>-96967146.153846145</v>
      </c>
      <c r="V105" s="1">
        <f t="shared" si="21"/>
        <v>2738958974.3589745</v>
      </c>
      <c r="W105" s="51">
        <f>V105*(1+$AD$107)</f>
        <v>3295460001.9850879</v>
      </c>
      <c r="X105" s="51">
        <f>W105*(1+$AD$107)</f>
        <v>3965030774.9590306</v>
      </c>
      <c r="Y105" s="51">
        <f>X105*(1+$AD$107)</f>
        <v>4770644777.0272017</v>
      </c>
      <c r="Z105" s="51">
        <f>Y105*(1+$AD$107)</f>
        <v>5739943238.8547049</v>
      </c>
      <c r="AA105" s="51">
        <f>Z105*(1+$AD$107)</f>
        <v>6906183529.7249966</v>
      </c>
      <c r="AB105" s="69" t="s">
        <v>166</v>
      </c>
      <c r="AC105" s="73" t="s">
        <v>144</v>
      </c>
      <c r="AD105" s="73"/>
    </row>
    <row r="106" spans="1:30" ht="20" x14ac:dyDescent="0.25">
      <c r="A106" s="14" t="s">
        <v>106</v>
      </c>
      <c r="B106" s="1"/>
      <c r="C106" s="15" t="e">
        <f t="shared" ref="C106:V106" si="22">(C107/B107)-1</f>
        <v>#VALUE!</v>
      </c>
      <c r="D106" s="15" t="e">
        <f t="shared" si="22"/>
        <v>#VALUE!</v>
      </c>
      <c r="E106" s="15" t="e">
        <f t="shared" si="22"/>
        <v>#VALUE!</v>
      </c>
      <c r="F106" s="15">
        <f t="shared" si="22"/>
        <v>1.5902590026087848</v>
      </c>
      <c r="G106" s="15">
        <f t="shared" si="22"/>
        <v>-1.0610499473136414E-2</v>
      </c>
      <c r="H106" s="15">
        <f t="shared" si="22"/>
        <v>12.492140183106386</v>
      </c>
      <c r="I106" s="15">
        <f t="shared" si="22"/>
        <v>-9.3513698556096148E-2</v>
      </c>
      <c r="J106" s="15">
        <f t="shared" si="22"/>
        <v>0.20732851126869334</v>
      </c>
      <c r="K106" s="15">
        <f t="shared" si="22"/>
        <v>0.29401127336547628</v>
      </c>
      <c r="L106" s="15">
        <f t="shared" si="22"/>
        <v>0.73386021547700619</v>
      </c>
      <c r="M106" s="15">
        <f t="shared" si="22"/>
        <v>-0.7675704618635687</v>
      </c>
      <c r="N106" s="15">
        <f t="shared" si="22"/>
        <v>4.7072840158859375</v>
      </c>
      <c r="O106" s="15">
        <f t="shared" si="22"/>
        <v>-2.7344242687957543E-2</v>
      </c>
      <c r="P106" s="15">
        <f t="shared" si="22"/>
        <v>-0.28139203279565106</v>
      </c>
      <c r="Q106" s="15">
        <f t="shared" si="22"/>
        <v>0.71961838620237573</v>
      </c>
      <c r="R106" s="15">
        <f t="shared" si="22"/>
        <v>-0.31408981795328805</v>
      </c>
      <c r="S106" s="15">
        <f t="shared" si="22"/>
        <v>1.3598491960376409</v>
      </c>
      <c r="T106" s="15">
        <f t="shared" si="22"/>
        <v>1.9769207023082482</v>
      </c>
      <c r="U106" s="15">
        <f t="shared" si="22"/>
        <v>-0.61990290898866918</v>
      </c>
      <c r="V106" s="15">
        <f t="shared" si="22"/>
        <v>5.9920432460406081</v>
      </c>
      <c r="W106" s="53">
        <f>(W107/V107)-1</f>
        <v>-0.7549879324215607</v>
      </c>
      <c r="X106" s="53">
        <f>(X107/W107)-1</f>
        <v>0.42669512395337383</v>
      </c>
      <c r="Y106" s="53">
        <f>(Y107/X107)-1</f>
        <v>0.40736478711162261</v>
      </c>
      <c r="Z106" s="53">
        <f>(Z107/Y107)-1</f>
        <v>0.51022076860179877</v>
      </c>
      <c r="AA106" s="53">
        <f>(AA107/Z107)-1</f>
        <v>0.18624796968056301</v>
      </c>
      <c r="AB106" s="54">
        <f>SUM(W106:AA106)/5</f>
        <v>0.15510814338515949</v>
      </c>
      <c r="AC106" s="39" t="s">
        <v>107</v>
      </c>
      <c r="AD106" s="55">
        <f>(AD101*AD93)+(AD103*AD98)</f>
        <v>0.10523039733393028</v>
      </c>
    </row>
    <row r="107" spans="1:30" ht="19" x14ac:dyDescent="0.25">
      <c r="A107" s="34" t="s">
        <v>161</v>
      </c>
      <c r="B107" s="1" t="s">
        <v>91</v>
      </c>
      <c r="C107" s="1" t="s">
        <v>91</v>
      </c>
      <c r="D107" s="1" t="s">
        <v>91</v>
      </c>
      <c r="E107" s="1">
        <v>1434001</v>
      </c>
      <c r="F107" s="1">
        <v>3714434</v>
      </c>
      <c r="G107" s="1">
        <v>3675022</v>
      </c>
      <c r="H107" s="1">
        <v>49583912</v>
      </c>
      <c r="I107" s="1">
        <v>44947137</v>
      </c>
      <c r="J107" s="1">
        <v>54265960</v>
      </c>
      <c r="K107" s="1">
        <v>70220764</v>
      </c>
      <c r="L107" s="1">
        <v>121752989</v>
      </c>
      <c r="M107" s="1">
        <v>28298991</v>
      </c>
      <c r="N107" s="1">
        <v>161510379</v>
      </c>
      <c r="O107" s="1">
        <v>157094000</v>
      </c>
      <c r="P107" s="1">
        <v>112889000</v>
      </c>
      <c r="Q107" s="1">
        <v>194126000</v>
      </c>
      <c r="R107" s="1">
        <v>133153000</v>
      </c>
      <c r="S107" s="1">
        <v>314221000</v>
      </c>
      <c r="T107" s="1">
        <v>935411000</v>
      </c>
      <c r="U107" s="1">
        <v>355547000</v>
      </c>
      <c r="V107" s="1">
        <v>2486000000</v>
      </c>
      <c r="W107" s="56">
        <v>609100000</v>
      </c>
      <c r="X107" s="56">
        <v>869000000</v>
      </c>
      <c r="Y107" s="56">
        <v>1223000000</v>
      </c>
      <c r="Z107" s="56">
        <v>1847000000</v>
      </c>
      <c r="AA107" s="56">
        <v>2191000000</v>
      </c>
      <c r="AB107" s="52" t="s">
        <v>164</v>
      </c>
      <c r="AC107" s="57" t="s">
        <v>145</v>
      </c>
      <c r="AD107" s="40">
        <f>(SUM(W4:AA4)/5)</f>
        <v>0.20317976020665185</v>
      </c>
    </row>
    <row r="108" spans="1:30" ht="19" x14ac:dyDescent="0.2">
      <c r="W108" s="52"/>
      <c r="X108" s="52"/>
      <c r="Y108" s="52"/>
      <c r="Z108" s="52"/>
      <c r="AA108" s="49">
        <f>AA105*(1+AD108)/(AD109-AD108)</f>
        <v>88231373060.574448</v>
      </c>
      <c r="AB108" s="58" t="s">
        <v>146</v>
      </c>
      <c r="AC108" s="59" t="s">
        <v>147</v>
      </c>
      <c r="AD108" s="41">
        <v>2.5000000000000001E-2</v>
      </c>
    </row>
    <row r="109" spans="1:30" ht="19" x14ac:dyDescent="0.2">
      <c r="W109" s="49">
        <f>W108+W105</f>
        <v>3295460001.9850879</v>
      </c>
      <c r="X109" s="49">
        <f>X108+X105</f>
        <v>3965030774.9590306</v>
      </c>
      <c r="Y109" s="49">
        <f>Y108+Y105</f>
        <v>4770644777.0272017</v>
      </c>
      <c r="Z109" s="49">
        <f>Z108+Z105</f>
        <v>5739943238.8547049</v>
      </c>
      <c r="AA109" s="49">
        <f>AA108+AA105</f>
        <v>95137556590.299438</v>
      </c>
      <c r="AB109" s="58" t="s">
        <v>143</v>
      </c>
      <c r="AC109" s="60" t="s">
        <v>148</v>
      </c>
      <c r="AD109" s="40">
        <f>AD106</f>
        <v>0.10523039733393028</v>
      </c>
    </row>
    <row r="110" spans="1:30" ht="19" x14ac:dyDescent="0.2">
      <c r="W110" s="72" t="s">
        <v>149</v>
      </c>
      <c r="X110" s="72"/>
      <c r="Y110" s="44"/>
      <c r="Z110" s="44"/>
      <c r="AA110" s="44"/>
      <c r="AB110" s="44"/>
      <c r="AC110" s="44"/>
      <c r="AD110" s="44"/>
    </row>
    <row r="111" spans="1:30" ht="20" x14ac:dyDescent="0.2">
      <c r="W111" s="61" t="s">
        <v>150</v>
      </c>
      <c r="X111" s="49">
        <f>NPV(AD109,W109,X109,Y109,Z109,AA109)</f>
        <v>71296338767.790222</v>
      </c>
      <c r="Y111" s="44"/>
      <c r="Z111" s="44"/>
      <c r="AA111" s="44"/>
      <c r="AB111" s="44"/>
      <c r="AC111" s="44"/>
      <c r="AD111" s="44"/>
    </row>
    <row r="112" spans="1:30" ht="20" x14ac:dyDescent="0.2">
      <c r="W112" s="61" t="s">
        <v>151</v>
      </c>
      <c r="X112" s="49">
        <f>V40</f>
        <v>4249000000</v>
      </c>
      <c r="Y112" s="44"/>
      <c r="Z112" s="44"/>
      <c r="AA112" s="44"/>
      <c r="AB112" s="44"/>
      <c r="AC112" s="44"/>
      <c r="AD112" s="44"/>
    </row>
    <row r="113" spans="23:30" ht="20" x14ac:dyDescent="0.2">
      <c r="W113" s="61" t="s">
        <v>139</v>
      </c>
      <c r="X113" s="49">
        <f>AD100</f>
        <v>656000000</v>
      </c>
      <c r="Y113" s="44"/>
      <c r="Z113" s="44"/>
      <c r="AA113" s="44"/>
      <c r="AB113" s="44"/>
      <c r="AC113" s="44"/>
      <c r="AD113" s="44"/>
    </row>
    <row r="114" spans="23:30" ht="20" x14ac:dyDescent="0.2">
      <c r="W114" s="61" t="s">
        <v>152</v>
      </c>
      <c r="X114" s="49">
        <f>X111+X112-X113</f>
        <v>74889338767.790222</v>
      </c>
      <c r="Y114" s="44"/>
      <c r="Z114" s="44"/>
      <c r="AA114" s="44"/>
      <c r="AB114" s="44"/>
      <c r="AC114" s="44"/>
      <c r="AD114" s="44"/>
    </row>
    <row r="115" spans="23:30" ht="20" x14ac:dyDescent="0.2">
      <c r="W115" s="61" t="s">
        <v>153</v>
      </c>
      <c r="X115" s="61">
        <f>V34*(1+(5*AB16))</f>
        <v>55576462.481717423</v>
      </c>
      <c r="Y115" s="44"/>
      <c r="Z115" s="44"/>
      <c r="AA115" s="44"/>
      <c r="AB115" s="44"/>
      <c r="AC115" s="44"/>
      <c r="AD115" s="44"/>
    </row>
    <row r="116" spans="23:30" ht="20" x14ac:dyDescent="0.2">
      <c r="W116" s="62" t="s">
        <v>154</v>
      </c>
      <c r="X116" s="63">
        <f>X114/X115</f>
        <v>1347.500999949862</v>
      </c>
      <c r="Y116" s="44"/>
      <c r="Z116" s="44"/>
      <c r="AA116" s="44"/>
      <c r="AB116" s="44"/>
      <c r="AC116" s="44"/>
      <c r="AD116" s="44"/>
    </row>
    <row r="117" spans="23:30" ht="20" x14ac:dyDescent="0.2">
      <c r="W117" s="61" t="s">
        <v>155</v>
      </c>
      <c r="X117" s="64" cm="1">
        <f t="array" ref="X117">_FV(A1,"Price")</f>
        <v>1200.45</v>
      </c>
      <c r="Y117" s="44"/>
      <c r="Z117" s="44"/>
      <c r="AA117" s="44"/>
      <c r="AB117" s="44"/>
      <c r="AC117" s="44"/>
      <c r="AD117" s="44"/>
    </row>
    <row r="118" spans="23:30" ht="20" x14ac:dyDescent="0.2">
      <c r="W118" s="62" t="s">
        <v>156</v>
      </c>
      <c r="X118" s="65">
        <f>X116/X117-1</f>
        <v>0.12249656374681317</v>
      </c>
      <c r="Y118" s="44"/>
      <c r="Z118" s="44"/>
      <c r="AA118" s="44"/>
      <c r="AB118" s="44"/>
      <c r="AC118" s="44"/>
      <c r="AD118" s="44"/>
    </row>
    <row r="119" spans="23:30" ht="20" x14ac:dyDescent="0.2">
      <c r="W119" s="62" t="s">
        <v>157</v>
      </c>
      <c r="X119" s="66" t="str">
        <f>IF(X116&gt;X117,"BUY","SELL")</f>
        <v>BUY</v>
      </c>
      <c r="Y119" s="44"/>
      <c r="Z119" s="44"/>
      <c r="AA119" s="44"/>
      <c r="AB119" s="44"/>
      <c r="AC119" s="44"/>
      <c r="AD119" s="44"/>
    </row>
  </sheetData>
  <mergeCells count="7">
    <mergeCell ref="AC84:AD84"/>
    <mergeCell ref="W110:X110"/>
    <mergeCell ref="AC105:AD105"/>
    <mergeCell ref="AC99:AD99"/>
    <mergeCell ref="AC94:AD94"/>
    <mergeCell ref="AC85:AD85"/>
    <mergeCell ref="W104:AA104"/>
  </mergeCells>
  <hyperlinks>
    <hyperlink ref="A1" r:id="rId1" tooltip="https://roic.ai/company/MELI" display="ROIC.AI | MEL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www.sec.gov/Archives/edgar/data/1099590/000119312508070409/0001193125-08-070409-index.htm" xr:uid="{00000000-0004-0000-0000-000010000000}"/>
    <hyperlink ref="G74" r:id="rId13" tooltip="https://www.sec.gov/Archives/edgar/data/1099590/000119312508070409/0001193125-08-070409-index.htm" xr:uid="{00000000-0004-0000-0000-000011000000}"/>
    <hyperlink ref="H36" r:id="rId14" tooltip="https://www.sec.gov/Archives/edgar/data/1099590/000136231009002931/0001362310-09-002931-index.htm" xr:uid="{00000000-0004-0000-0000-000013000000}"/>
    <hyperlink ref="H74" r:id="rId15" tooltip="https://www.sec.gov/Archives/edgar/data/1099590/000136231009002931/0001362310-09-002931-index.htm" xr:uid="{00000000-0004-0000-0000-000014000000}"/>
    <hyperlink ref="I36" r:id="rId16" tooltip="https://www.sec.gov/Archives/edgar/data/1099590/000095012310018199/0000950123-10-018199-index.htm" xr:uid="{00000000-0004-0000-0000-000016000000}"/>
    <hyperlink ref="I74" r:id="rId17" tooltip="https://www.sec.gov/Archives/edgar/data/1099590/000095012310018199/0000950123-10-018199-index.htm" xr:uid="{00000000-0004-0000-0000-000017000000}"/>
    <hyperlink ref="J36" r:id="rId18" tooltip="https://www.sec.gov/Archives/edgar/data/1099590/000095012311018724/0000950123-11-018724-index.htm" xr:uid="{00000000-0004-0000-0000-000019000000}"/>
    <hyperlink ref="J74" r:id="rId19" tooltip="https://www.sec.gov/Archives/edgar/data/1099590/000095012311018724/0000950123-11-018724-index.htm" xr:uid="{00000000-0004-0000-0000-00001A000000}"/>
    <hyperlink ref="K36" r:id="rId20" tooltip="https://www.sec.gov/Archives/edgar/data/1099590/000119312512085292/0001193125-12-085292-index.htm" xr:uid="{00000000-0004-0000-0000-00001C000000}"/>
    <hyperlink ref="K74" r:id="rId21" tooltip="https://www.sec.gov/Archives/edgar/data/1099590/000119312512085292/0001193125-12-085292-index.htm" xr:uid="{00000000-0004-0000-0000-00001D000000}"/>
    <hyperlink ref="L36" r:id="rId22" tooltip="https://www.sec.gov/Archives/edgar/data/1099590/000119312513081326/0001193125-13-081326-index.htm" xr:uid="{00000000-0004-0000-0000-00001F000000}"/>
    <hyperlink ref="L74" r:id="rId23" tooltip="https://www.sec.gov/Archives/edgar/data/1099590/000119312513081326/0001193125-13-081326-index.htm" xr:uid="{00000000-0004-0000-0000-000020000000}"/>
    <hyperlink ref="M36" r:id="rId24" tooltip="https://www.sec.gov/Archives/edgar/data/1099590/000119312514078151/0001193125-14-078151-index.htm" xr:uid="{00000000-0004-0000-0000-000022000000}"/>
    <hyperlink ref="M74" r:id="rId25" tooltip="https://www.sec.gov/Archives/edgar/data/1099590/000119312514078151/0001193125-14-078151-index.htm" xr:uid="{00000000-0004-0000-0000-000023000000}"/>
    <hyperlink ref="N36" r:id="rId26" tooltip="https://www.sec.gov/Archives/edgar/data/1099590/000119312515069727/0001193125-15-069727-index.htm" xr:uid="{00000000-0004-0000-0000-000025000000}"/>
    <hyperlink ref="N74" r:id="rId27" tooltip="https://www.sec.gov/Archives/edgar/data/1099590/000119312515069727/0001193125-15-069727-index.htm" xr:uid="{00000000-0004-0000-0000-000026000000}"/>
    <hyperlink ref="O36" r:id="rId28" tooltip="https://www.sec.gov/Archives/edgar/data/1099590/000156276216000352/0001562762-16-000352-index.htm" xr:uid="{00000000-0004-0000-0000-000028000000}"/>
    <hyperlink ref="O74" r:id="rId29" tooltip="https://www.sec.gov/Archives/edgar/data/1099590/000156276216000352/0001562762-16-000352-index.htm" xr:uid="{00000000-0004-0000-0000-000029000000}"/>
    <hyperlink ref="P36" r:id="rId30" tooltip="https://www.sec.gov/Archives/edgar/data/1099590/000156276217000024/0001562762-17-000024-index.htm" xr:uid="{00000000-0004-0000-0000-00002B000000}"/>
    <hyperlink ref="P74" r:id="rId31" tooltip="https://www.sec.gov/Archives/edgar/data/1099590/000156276217000024/0001562762-17-000024-index.htm" xr:uid="{00000000-0004-0000-0000-00002C000000}"/>
    <hyperlink ref="Q36" r:id="rId32" tooltip="https://www.sec.gov/Archives/edgar/data/1099590/000156276218000040/0001562762-18-000040-index.htm" xr:uid="{00000000-0004-0000-0000-00002E000000}"/>
    <hyperlink ref="Q74" r:id="rId33" tooltip="https://www.sec.gov/Archives/edgar/data/1099590/000156276218000040/0001562762-18-000040-index.htm" xr:uid="{00000000-0004-0000-0000-00002F000000}"/>
    <hyperlink ref="R36" r:id="rId34" tooltip="https://www.sec.gov/Archives/edgar/data/1099590/000156276219000047/0001562762-19-000047-index.htm" xr:uid="{00000000-0004-0000-0000-000031000000}"/>
    <hyperlink ref="R74" r:id="rId35" tooltip="https://www.sec.gov/Archives/edgar/data/1099590/000156276219000047/0001562762-19-000047-index.htm" xr:uid="{00000000-0004-0000-0000-000032000000}"/>
    <hyperlink ref="S36" r:id="rId36" tooltip="https://www.sec.gov/Archives/edgar/data/1099590/000156276220000055/0001562762-20-000055-index.htm" xr:uid="{00000000-0004-0000-0000-000034000000}"/>
    <hyperlink ref="S74" r:id="rId37" tooltip="https://www.sec.gov/Archives/edgar/data/1099590/000156276220000055/0001562762-20-000055-index.htm" xr:uid="{00000000-0004-0000-0000-000035000000}"/>
    <hyperlink ref="T36" r:id="rId38" tooltip="https://www.sec.gov/Archives/edgar/data/1099590/000156276221000079/0001562762-21-000079-index.htm" xr:uid="{00000000-0004-0000-0000-000037000000}"/>
    <hyperlink ref="T74" r:id="rId39" tooltip="https://www.sec.gov/Archives/edgar/data/1099590/000156276221000079/0001562762-21-000079-index.htm" xr:uid="{00000000-0004-0000-0000-000038000000}"/>
    <hyperlink ref="U36" r:id="rId40" tooltip="https://www.sec.gov/Archives/edgar/data/1099590/000156276222000049/0001562762-22-000049-index.htm" xr:uid="{00000000-0004-0000-0000-00003A000000}"/>
    <hyperlink ref="U74" r:id="rId41" tooltip="https://www.sec.gov/Archives/edgar/data/1099590/000156276222000049/0001562762-22-000049-index.htm" xr:uid="{00000000-0004-0000-0000-00003B000000}"/>
    <hyperlink ref="V36" r:id="rId42" tooltip="https://www.sec.gov/Archives/edgar/data/1099590/000109959023000007/0001099590-23-000007-index.htm" xr:uid="{00000000-0004-0000-0000-00003D000000}"/>
    <hyperlink ref="V74" r:id="rId43" tooltip="https://www.sec.gov/Archives/edgar/data/1099590/000109959023000007/0001099590-23-000007-index.htm" xr:uid="{00000000-0004-0000-0000-00003E000000}"/>
    <hyperlink ref="W1" r:id="rId44" display="https://finbox.com/NASDAQGS:MELI/explorer/revenue_proj" xr:uid="{A9D81E4D-9076-5E4D-ABE8-395EC388EF92}"/>
    <hyperlink ref="AB107" r:id="rId45" xr:uid="{11060F21-E241-3E4E-9D40-CF67BCD582C1}"/>
  </hyperlinks>
  <pageMargins left="0.7" right="0.7" top="0.75" bottom="0.75" header="0.3" footer="0.3"/>
  <drawing r:id="rId4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2023-03-13T10:27:55Z</dcterms:created>
  <dcterms:modified xsi:type="dcterms:W3CDTF">2023-10-30T06:59:32Z</dcterms:modified>
</cp:coreProperties>
</file>