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9575F261-B2AC-B64B-91C9-C22B28BC439C}"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05" i="1" l="1"/>
  <c r="J105" i="1"/>
  <c r="I105" i="1"/>
  <c r="H105" i="1"/>
  <c r="G105" i="1"/>
  <c r="O7" i="1"/>
  <c r="N7" i="1"/>
  <c r="M7" i="1"/>
  <c r="L7" i="1"/>
  <c r="G6" i="1"/>
  <c r="G33" i="1" a="1"/>
  <c r="G33" i="1" s="1"/>
  <c r="G34" i="1" a="1"/>
  <c r="G34" i="1" s="1"/>
  <c r="G35" i="1" s="1"/>
  <c r="H115" i="1" s="1"/>
  <c r="M22" i="1"/>
  <c r="K106" i="1"/>
  <c r="J106" i="1"/>
  <c r="I106" i="1"/>
  <c r="H106" i="1"/>
  <c r="G106" i="1"/>
  <c r="G109" i="1"/>
  <c r="H109" i="1"/>
  <c r="I109" i="1"/>
  <c r="J109" i="1"/>
  <c r="B105" i="1"/>
  <c r="C105" i="1"/>
  <c r="D105" i="1"/>
  <c r="E105" i="1"/>
  <c r="F105" i="1"/>
  <c r="H30" i="1"/>
  <c r="I30" i="1"/>
  <c r="J30" i="1"/>
  <c r="K30" i="1"/>
  <c r="G30" i="1"/>
  <c r="G29" i="1"/>
  <c r="H29" i="1"/>
  <c r="I29" i="1"/>
  <c r="J29" i="1"/>
  <c r="K29" i="1"/>
  <c r="H21" i="1"/>
  <c r="I21" i="1"/>
  <c r="J21" i="1"/>
  <c r="K21" i="1"/>
  <c r="G21" i="1"/>
  <c r="G20" i="1"/>
  <c r="H20" i="1"/>
  <c r="I20" i="1"/>
  <c r="J20" i="1"/>
  <c r="K20" i="1"/>
  <c r="H117" i="1" a="1"/>
  <c r="H117" i="1" s="1"/>
  <c r="N102" i="1" a="1"/>
  <c r="N102" i="1" s="1"/>
  <c r="N19" i="1" s="1"/>
  <c r="N96" i="1" a="1"/>
  <c r="N96" i="1" s="1"/>
  <c r="L16" i="1"/>
  <c r="N86" i="1"/>
  <c r="N89" i="1"/>
  <c r="N93" i="1"/>
  <c r="H112" i="1"/>
  <c r="N91" i="1"/>
  <c r="N90" i="1"/>
  <c r="N92" i="1"/>
  <c r="N88" i="1"/>
  <c r="N87" i="1"/>
  <c r="N100" i="1"/>
  <c r="H113" i="1" s="1"/>
  <c r="L13" i="1"/>
  <c r="L4" i="1"/>
  <c r="L19" i="1"/>
  <c r="O13" i="1"/>
  <c r="N13" i="1"/>
  <c r="M13" i="1"/>
  <c r="O10" i="1"/>
  <c r="N10" i="1"/>
  <c r="M10" i="1"/>
  <c r="L10" i="1"/>
  <c r="N4" i="1"/>
  <c r="M4" i="1"/>
  <c r="K4" i="1"/>
  <c r="J4" i="1"/>
  <c r="I4" i="1"/>
  <c r="H4" i="1"/>
  <c r="G4" i="1"/>
  <c r="F106" i="1"/>
  <c r="O4" i="1" s="1"/>
  <c r="E106" i="1"/>
  <c r="D106" i="1"/>
  <c r="C106" i="1"/>
  <c r="F89" i="1"/>
  <c r="E89" i="1"/>
  <c r="D89" i="1"/>
  <c r="C89" i="1"/>
  <c r="B89" i="1"/>
  <c r="F80" i="1"/>
  <c r="E80" i="1"/>
  <c r="D80" i="1"/>
  <c r="C80" i="1"/>
  <c r="B80" i="1"/>
  <c r="F35" i="1"/>
  <c r="E35" i="1"/>
  <c r="D35" i="1"/>
  <c r="C35" i="1"/>
  <c r="F29" i="1"/>
  <c r="E29" i="1"/>
  <c r="D29" i="1"/>
  <c r="C29" i="1"/>
  <c r="F20" i="1"/>
  <c r="E20" i="1"/>
  <c r="D20" i="1"/>
  <c r="C20" i="1"/>
  <c r="F13" i="1"/>
  <c r="E13" i="1"/>
  <c r="D13" i="1"/>
  <c r="C13" i="1"/>
  <c r="B13" i="1"/>
  <c r="F9" i="1"/>
  <c r="E9" i="1"/>
  <c r="D9" i="1"/>
  <c r="C9" i="1"/>
  <c r="B9" i="1"/>
  <c r="F4" i="1"/>
  <c r="E4" i="1"/>
  <c r="D4" i="1"/>
  <c r="C4" i="1"/>
  <c r="O19" i="1" l="1"/>
  <c r="O22" i="1"/>
  <c r="L106" i="1"/>
  <c r="N22" i="1"/>
  <c r="N107" i="1"/>
  <c r="M19" i="1"/>
  <c r="N104" i="1"/>
  <c r="N101" i="1" s="1"/>
  <c r="O16" i="1"/>
  <c r="N16" i="1"/>
  <c r="M16" i="1"/>
  <c r="N103" i="1" l="1"/>
  <c r="N95" i="1" l="1"/>
  <c r="N98" i="1" s="1"/>
  <c r="N106" i="1" s="1"/>
  <c r="N109" i="1" s="1"/>
  <c r="K108" i="1" s="1"/>
  <c r="K109" i="1" s="1"/>
  <c r="H111" i="1" s="1"/>
  <c r="H114" i="1" s="1"/>
  <c r="H116" i="1" s="1"/>
  <c r="H119" i="1" l="1"/>
  <c r="H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<sst xmlns="http://schemas.openxmlformats.org/spreadsheetml/2006/main" count="281" uniqueCount="168">
  <si>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</si>
  <si>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</si>
  <si>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</si>
  <si>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</si>
  <si>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</si>
  <si>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</si>
  <si>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</si>
  <si>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</si>
  <si>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</si>
  <si>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</si>
  <si>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</si>
  <si>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</si>
  <si>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</si>
  <si>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</si>
  <si>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</si>
  <si>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</si>
  <si>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</si>
  <si>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</si>
  <si>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</si>
  <si>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</si>
  <si>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</si>
  <si>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</si>
  <si>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</si>
  <si>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</si>
  <si>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</si>
  <si>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</si>
  <si>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</si>
  <si>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</si>
  <si>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</si>
  <si>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</si>
  <si>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</si>
  <si>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</si>
  <si>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</si>
  <si>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</si>
  <si>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</si>
  <si>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</si>
  <si>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</si>
  <si>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</si>
  <si>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</si>
  <si>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</si>
  <si>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</si>
  <si>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</si>
  <si>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</si>
  <si>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</si>
  <si>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</si>
  <si>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</si>
  <si>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</si>
  <si>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</si>
  <si>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</si>
  <si>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</si>
  <si>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</si>
  <si>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</si>
  <si>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</si>
  <si>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</si>
  <si>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</si>
  <si>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</si>
  <si>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</si>
  <si>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</si>
  <si>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</si>
  <si>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</si>
  <si>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</si>
  <si>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</si>
  <si>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</si>
  <si>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</si>
  <si>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</si>
  <si>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</si>
  <si>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</si>
  <si>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</si>
  <si>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</si>
  <si>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</si>
  <si>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</si>
  <si>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</si>
  <si>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</si>
  <si>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</si>
  <si>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</si>
  <si>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</si>
  <si>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</si>
  <si>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</si>
  <si>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</si>
  <si>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</si>
  <si>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</si>
  <si>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</si>
  <si>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</si>
  <si>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</si>
  <si>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</si>
  <si>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</si>
  <si>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</si>
  <si>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</si>
  <si>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</si>
  <si>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</si>
  <si>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</si>
  <si>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</si>
  <si>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</si>
  <si>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</si>
  <si>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</si>
  <si>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</si>
  <si>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</si>
  <si>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</si>
  <si>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</si>
  <si>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</si>
  <si>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</si>
  <si>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</si>
  <si>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</si>
  <si>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</si>
  <si>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</si>
  <si>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</si>
  <si>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</si>
  <si>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</si>
  <si>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</si>
  <si>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</si>
  <si>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</si>
  <si>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</si>
  <si>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</si>
  <si>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</si>
  <si>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</si>
  <si>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</si>
  <si>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</si>
  <si>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</si>
  <si>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</si>
  <si>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</si>
  <si>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</si>
  <si>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</si>
  <si>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</si>
  <si>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</si>
  <si>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</si>
  <si>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</si>
  <si>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</si>
  <si>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</si>
  <si>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</si>
  <si>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</si>
  <si>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</si>
  <si>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</si>
  <si>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</si>
  <si>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</si>
  <si>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</si>
  <si>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</si>
  <si>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</si>
  <si>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</si>
  <si>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</si>
  <si>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</si>
  <si>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</si>
  <si>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</si>
  <si>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</si>
  <si>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</si>
  <si>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</si>
  <si>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</si>
  <si>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</si>
  <si>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</si>
  <si>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</si>
  <si>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</si>
  <si>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</si>
  <si>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</si>
  <si>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</si>
  <si>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</si>
  <si>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</si>
  <si>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(4yr)</t>
  </si>
  <si>
    <t>Forward P/S</t>
  </si>
  <si>
    <t>Forward P/E</t>
  </si>
  <si>
    <t>Forward P/FCF</t>
  </si>
  <si>
    <t>Unlevered FCF</t>
  </si>
  <si>
    <t>Levered FCF Growth YoY</t>
  </si>
  <si>
    <t>Levered FCF</t>
  </si>
  <si>
    <t>Unlevered FCF Forecast</t>
  </si>
  <si>
    <t>Dividend Yield</t>
  </si>
  <si>
    <t>5Y Fwd FCF CAGR</t>
  </si>
  <si>
    <t>Forward FCF Yield</t>
  </si>
  <si>
    <t>4Y Fwd Income CAGR</t>
  </si>
  <si>
    <t>Shares (3%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</si>
</sst>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0" fontId="1" fillId="0" borderId="0" xfId="0" applyFont="1" applyAlignment="1">
      <alignment indent="1"/>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4" borderId="0" xfId="0" applyNumberFormat="1" applyFont="1" applyFill="1" applyAlignment="1">
      <alignment vertical="center" wrapText="1"/>
    </xf>
    <xf numFmtId="164" fontId="1" fillId="7" borderId="0" xfId="0" applyNumberFormat="1" applyFont="1" applyFill="1" applyAlignment="1">
      <alignment vertical="center"/>
    </xf>
    <xf numFmtId="0" fontId="0" fillId="4" borderId="0" xfId="0" applyFill="1" applyAlignment="1">
      <alignment horizontal="left" vertical="center"/>
    </xf>
    <xf numFmtId="0" fontId="16" fillId="7" borderId="0" xfId="0" applyFont="1" applyFill="1" applyAlignment="1">
      <alignment vertical="center" wrapText="1"/>
    </xf>
    <xf numFmtId="0" fontId="16" fillId="4" borderId="0" xfId="0" applyFont="1"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8"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10" fontId="11" fillId="4" borderId="0" xfId="0" applyNumberFormat="1" applyFont="1" applyFill="1"/>
    <xf numFmtId="165" fontId="10" fillId="4" borderId="0" xfId="0" applyNumberFormat="1" applyFont="1" applyFill="1" applyAlignment="1">
      <alignment vertical="center"/>
    </xf>
    <xf numFmtId="0" fontId="0" fillId="4" borderId="0" xfId="0" applyFill="1" applyAlignment="1">
      <alignment horizontal="center" vertical="center"/>
    </xf>
    <xf numFmtId="0" fontId="0" fillId="7" borderId="0" xfId="0" applyFill="1" applyAlignment="1">
      <alignmen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Snowflake</a:t>
            </a:r>
            <a:endParaRPr lang="en-US"/>
          </a:p>
        </c:rich>
      </c:tx>
      <c:layout>
        <c:manualLayout>
          <c:xMode val="edge"/>
          <c:yMode val="edge"/>
          <c:x val="0.42771570247933882"/>
          <c:y val="2.453047440633716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2284297520661168E-2"/>
          <c:y val="0.1457416810666507"/>
          <c:w val="0.8468892561983471"/>
          <c:h val="0.68294289397306029"/>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1'!$B$1:$K$1</c:f>
              <c:numCache>
                <c:formatCode>General</c:formatCode>
                <c:ptCount val="10"/>
                <c:pt idx="0">
                  <c:v>2019</c:v>
                </c:pt>
                <c:pt idx="1">
                  <c:v>2020</c:v>
                </c:pt>
                <c:pt idx="2">
                  <c:v>2021</c:v>
                </c:pt>
                <c:pt idx="3">
                  <c:v>2022</c:v>
                </c:pt>
                <c:pt idx="4">
                  <c:v>2023</c:v>
                </c:pt>
                <c:pt idx="5">
                  <c:v>2024</c:v>
                </c:pt>
                <c:pt idx="6">
                  <c:v>2025</c:v>
                </c:pt>
                <c:pt idx="7">
                  <c:v>2026</c:v>
                </c:pt>
                <c:pt idx="8">
                  <c:v>2027</c:v>
                </c:pt>
                <c:pt idx="9">
                  <c:v>2028</c:v>
                </c:pt>
              </c:numCache>
            </c:numRef>
          </c:cat>
          <c:val>
            <c:numRef>
              <c:f>'Sheet 1'!$B$3:$K$3</c:f>
              <c:numCache>
                <c:formatCode>#,###,,;\(#,###,,\);\ \-\ \-</c:formatCode>
                <c:ptCount val="10"/>
                <c:pt idx="0">
                  <c:v>96666000</c:v>
                </c:pt>
                <c:pt idx="1">
                  <c:v>264748000</c:v>
                </c:pt>
                <c:pt idx="2">
                  <c:v>592049000</c:v>
                </c:pt>
                <c:pt idx="3">
                  <c:v>1219327000</c:v>
                </c:pt>
                <c:pt idx="4">
                  <c:v>2065659000</c:v>
                </c:pt>
                <c:pt idx="5">
                  <c:v>2750000000</c:v>
                </c:pt>
                <c:pt idx="6">
                  <c:v>3606000000</c:v>
                </c:pt>
                <c:pt idx="7">
                  <c:v>4751000000</c:v>
                </c:pt>
                <c:pt idx="8">
                  <c:v>6537000000</c:v>
                </c:pt>
                <c:pt idx="9">
                  <c:v>8543000000</c:v>
                </c:pt>
              </c:numCache>
            </c:numRef>
          </c:val>
          <c:extLst>
            <c:ext xmlns:c16="http://schemas.microsoft.com/office/drawing/2014/chart" uri="{C3380CC4-5D6E-409C-BE32-E72D297353CC}">
              <c16:uniqueId val="{00000000-A8F5-DA4A-9EC5-5C4D048D973A}"/>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1'!$B$1:$K$1</c:f>
              <c:numCache>
                <c:formatCode>General</c:formatCode>
                <c:ptCount val="10"/>
                <c:pt idx="0">
                  <c:v>2019</c:v>
                </c:pt>
                <c:pt idx="1">
                  <c:v>2020</c:v>
                </c:pt>
                <c:pt idx="2">
                  <c:v>2021</c:v>
                </c:pt>
                <c:pt idx="3">
                  <c:v>2022</c:v>
                </c:pt>
                <c:pt idx="4">
                  <c:v>2023</c:v>
                </c:pt>
                <c:pt idx="5">
                  <c:v>2024</c:v>
                </c:pt>
                <c:pt idx="6">
                  <c:v>2025</c:v>
                </c:pt>
                <c:pt idx="7">
                  <c:v>2026</c:v>
                </c:pt>
                <c:pt idx="8">
                  <c:v>2027</c:v>
                </c:pt>
                <c:pt idx="9">
                  <c:v>2028</c:v>
                </c:pt>
              </c:numCache>
            </c:numRef>
          </c:cat>
          <c:val>
            <c:numRef>
              <c:f>'Sheet 1'!$B$28:$K$28</c:f>
              <c:numCache>
                <c:formatCode>#,###,,;\(#,###,,\);\ \-\ \-</c:formatCode>
                <c:ptCount val="10"/>
                <c:pt idx="0">
                  <c:v>-178028000</c:v>
                </c:pt>
                <c:pt idx="1">
                  <c:v>-348535000</c:v>
                </c:pt>
                <c:pt idx="2">
                  <c:v>-539102000</c:v>
                </c:pt>
                <c:pt idx="3">
                  <c:v>-679948000</c:v>
                </c:pt>
                <c:pt idx="4">
                  <c:v>-796705000</c:v>
                </c:pt>
                <c:pt idx="5">
                  <c:v>243300000</c:v>
                </c:pt>
                <c:pt idx="6">
                  <c:v>368000000</c:v>
                </c:pt>
                <c:pt idx="7">
                  <c:v>588400000</c:v>
                </c:pt>
                <c:pt idx="8">
                  <c:v>516000000</c:v>
                </c:pt>
                <c:pt idx="9">
                  <c:v>791600000</c:v>
                </c:pt>
              </c:numCache>
            </c:numRef>
          </c:val>
          <c:extLst>
            <c:ext xmlns:c16="http://schemas.microsoft.com/office/drawing/2014/chart" uri="{C3380CC4-5D6E-409C-BE32-E72D297353CC}">
              <c16:uniqueId val="{00000001-A8F5-DA4A-9EC5-5C4D048D973A}"/>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1'!$B$1:$K$1</c:f>
              <c:numCache>
                <c:formatCode>General</c:formatCode>
                <c:ptCount val="10"/>
                <c:pt idx="0">
                  <c:v>2019</c:v>
                </c:pt>
                <c:pt idx="1">
                  <c:v>2020</c:v>
                </c:pt>
                <c:pt idx="2">
                  <c:v>2021</c:v>
                </c:pt>
                <c:pt idx="3">
                  <c:v>2022</c:v>
                </c:pt>
                <c:pt idx="4">
                  <c:v>2023</c:v>
                </c:pt>
                <c:pt idx="5">
                  <c:v>2024</c:v>
                </c:pt>
                <c:pt idx="6">
                  <c:v>2025</c:v>
                </c:pt>
                <c:pt idx="7">
                  <c:v>2026</c:v>
                </c:pt>
                <c:pt idx="8">
                  <c:v>2027</c:v>
                </c:pt>
                <c:pt idx="9">
                  <c:v>2028</c:v>
                </c:pt>
              </c:numCache>
            </c:numRef>
          </c:cat>
          <c:val>
            <c:numRef>
              <c:f>'Sheet 1'!$B$107:$K$107</c:f>
              <c:numCache>
                <c:formatCode>#,###,,;\(#,###,,\);\ \-\ \-</c:formatCode>
                <c:ptCount val="10"/>
                <c:pt idx="0">
                  <c:v>-147998000</c:v>
                </c:pt>
                <c:pt idx="1">
                  <c:v>-199406000</c:v>
                </c:pt>
                <c:pt idx="2">
                  <c:v>-94121000</c:v>
                </c:pt>
                <c:pt idx="3">
                  <c:v>56852000</c:v>
                </c:pt>
                <c:pt idx="4">
                  <c:v>496499000</c:v>
                </c:pt>
                <c:pt idx="5">
                  <c:v>544000000</c:v>
                </c:pt>
                <c:pt idx="6">
                  <c:v>753000000</c:v>
                </c:pt>
                <c:pt idx="7">
                  <c:v>1100000000</c:v>
                </c:pt>
                <c:pt idx="8">
                  <c:v>1865000000</c:v>
                </c:pt>
                <c:pt idx="9">
                  <c:v>2763000000</c:v>
                </c:pt>
              </c:numCache>
            </c:numRef>
          </c:val>
          <c:extLst>
            <c:ext xmlns:c16="http://schemas.microsoft.com/office/drawing/2014/chart" uri="{C3380CC4-5D6E-409C-BE32-E72D297353CC}">
              <c16:uniqueId val="{00000002-A8F5-DA4A-9EC5-5C4D048D973A}"/>
            </c:ext>
          </c:extLst>
        </c:ser>
        <c:dLbls>
          <c:showLegendKey val="0"/>
          <c:showVal val="0"/>
          <c:showCatName val="0"/>
          <c:showSerName val="0"/>
          <c:showPercent val="0"/>
          <c:showBubbleSize val="0"/>
        </c:dLbls>
        <c:gapWidth val="150"/>
        <c:overlap val="100"/>
        <c:axId val="1712191840"/>
        <c:axId val="1756669392"/>
      </c:barChart>
      <c:catAx>
        <c:axId val="17121918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56669392"/>
        <c:crosses val="autoZero"/>
        <c:auto val="1"/>
        <c:lblAlgn val="ctr"/>
        <c:lblOffset val="100"/>
        <c:noMultiLvlLbl val="0"/>
      </c:catAx>
      <c:valAx>
        <c:axId val="1756669392"/>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12191840"/>
        <c:crosses val="autoZero"/>
        <c:crossBetween val="between"/>
      </c:valAx>
      <c:spPr>
        <a:noFill/>
        <a:ln>
          <a:noFill/>
        </a:ln>
        <a:effectLst/>
      </c:spPr>
    </c:plotArea>
    <c:legend>
      <c:legendPos val="b"/>
      <c:layout>
        <c:manualLayout>
          <c:xMode val="edge"/>
          <c:yMode val="edge"/>
          <c:x val="0.3431097806989003"/>
          <c:y val="0.88808429791295396"/>
          <c:w val="0.31378033448298304"/>
          <c:h val="6.285475327437166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15874</xdr:colOff>
      <xdr:row>109</xdr:row>
      <xdr:rowOff>17462</xdr:rowOff>
    </xdr:from>
    <xdr:to>
      <xdr:col>13</xdr:col>
      <xdr:colOff>1603374</xdr:colOff>
      <xdr:row>126</xdr:row>
      <xdr:rowOff>190499</xdr:rowOff>
    </xdr:to>
    <xdr:graphicFrame macro="">
      <xdr:nvGraphicFramePr>
        <xdr:cNvPr id="3" name="Chart 2">
          <a:extLst>
            <a:ext uri="{FF2B5EF4-FFF2-40B4-BE49-F238E27FC236}">
              <a16:creationId xmlns:a16="http://schemas.microsoft.com/office/drawing/2014/main" id="{CA074596-BF1B-ADDB-136C-446F6585B0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https://www.bing.com/financeapi/forcetrigger?t=bvlqa2&amp;q=XNYS%3aSNOW&amp;form=skydnc</v>
    <v>Learn more on Bing</v>
  </rv>
  <rv s="1">
    <v>0</v>
    <v>SNOWFLAKE INC. (XNYS:SNOW)</v>
    <v>2</v>
    <v>3</v>
    <v>Finance</v>
    <v>4</v>
    <v>en-US</v>
    <v>bvlqa2</v>
    <v>268435456</v>
    <v>1</v>
    <v>Powered by Refinitiv</v>
    <v>193.94</v>
    <v>119.27</v>
    <v>1.627</v>
    <v>2.54</v>
    <v>1.8035000000000002E-2</v>
    <v>0.22</v>
    <v>1.534E-3</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145.38999999999999</v>
    <v>Software &amp; IT Services</v>
    <v>Stock</v>
    <v>45226.999901978903</v>
    <v>0</v>
    <v>141.88999999999999</v>
    <v>47272390000</v>
    <v>SNOWFLAKE INC.</v>
    <v>SNOWFLAKE INC.</v>
    <v>144.1</v>
    <v>140.84</v>
    <v>143.38</v>
    <v>143.6</v>
    <v>329700000</v>
    <v>SNOW</v>
    <v>SNOWFLAKE INC. (XNYS:SNOW)</v>
    <v>3393761</v>
    <v>3474727</v>
    <v>2012</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40147/000164014722000023/0001640147-22-000023-index.htm" TargetMode="External"/><Relationship Id="rId13" Type="http://schemas.openxmlformats.org/officeDocument/2006/relationships/hyperlink" Target="https://finbox.com/NYSE:SNOW/explorer/fcf_unlev_proj"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40147/000164014721000073/0001640147-21-000073-index.htm" TargetMode="External"/><Relationship Id="rId12" Type="http://schemas.openxmlformats.org/officeDocument/2006/relationships/hyperlink" Target="https://finbox.com/NYSE:SNOW/explorer/revenue_proj" TargetMode="External"/><Relationship Id="rId2" Type="http://schemas.openxmlformats.org/officeDocument/2006/relationships/hyperlink" Target="https://sec.gov/" TargetMode="External"/><Relationship Id="rId1" Type="http://schemas.openxmlformats.org/officeDocument/2006/relationships/hyperlink" Target="https://roic.ai/company/SNOW" TargetMode="External"/><Relationship Id="rId6" Type="http://schemas.openxmlformats.org/officeDocument/2006/relationships/hyperlink" Target="https://www.sec.gov/Archives/edgar/data/1640147/000164014721000073/0001640147-21-000073-index.htm"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40147/000164014722000023/0001640147-22-000023-index.htm"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C94" activePane="bottomRight" state="frozen"/>
      <selection pane="topRight"/>
      <selection pane="bottomLeft"/>
      <selection pane="bottomRight" activeCell="E119" sqref="E119"/>
    </sheetView>
  </sheetViews>
  <sheetFormatPr baseColWidth="10" defaultRowHeight="16" x14ac:dyDescent="0.2"/>
  <cols>
    <col min="1" max="1" width="50" customWidth="1"/>
    <col min="2" max="6" width="15" customWidth="1"/>
    <col min="7" max="15" width="21" customWidth="1"/>
  </cols>
  <sheetData>
    <row r="1" spans="1:38" ht="22" thickBot="1" x14ac:dyDescent="0.3">
      <c r="A1" s="3" t="e" vm="1">
        <v>#VALUE!</v>
      </c>
      <c r="B1" s="8">
        <v>2019</v>
      </c>
      <c r="C1" s="8">
        <v>2020</v>
      </c>
      <c r="D1" s="8">
        <v>2021</v>
      </c>
      <c r="E1" s="8">
        <v>2022</v>
      </c>
      <c r="F1" s="8">
        <v>2023</v>
      </c>
      <c r="G1" s="24">
        <v>2024</v>
      </c>
      <c r="H1" s="24">
        <v>2025</v>
      </c>
      <c r="I1" s="24">
        <v>2026</v>
      </c>
      <c r="J1" s="24">
        <v>2027</v>
      </c>
      <c r="K1" s="24">
        <v>2028</v>
      </c>
    </row>
    <row r="2" spans="1:38" ht="21" x14ac:dyDescent="0.25">
      <c r="A2" s="4" t="s">
        <v>0</v>
      </c>
      <c r="B2" s="9" t="s">
        <v>90</v>
      </c>
      <c r="C2" s="9" t="s">
        <v>90</v>
      </c>
      <c r="D2" s="9" t="s">
        <v>90</v>
      </c>
      <c r="E2" s="9" t="s">
        <v>90</v>
      </c>
      <c r="F2" s="9" t="s">
        <v>90</v>
      </c>
      <c r="G2" s="9" t="s">
        <v>90</v>
      </c>
      <c r="H2" s="9" t="s">
        <v>90</v>
      </c>
      <c r="I2" s="9" t="s">
        <v>90</v>
      </c>
      <c r="J2" s="9"/>
      <c r="K2" s="9"/>
      <c r="L2" s="9"/>
      <c r="M2" s="9"/>
      <c r="N2" s="9"/>
      <c r="O2" s="9"/>
    </row>
    <row r="3" spans="1:38" ht="40" x14ac:dyDescent="0.25">
      <c r="A3" s="5" t="s">
        <v>1</v>
      </c>
      <c r="B3" s="1">
        <v>96666000</v>
      </c>
      <c r="C3" s="1">
        <v>264748000</v>
      </c>
      <c r="D3" s="1">
        <v>592049000</v>
      </c>
      <c r="E3" s="1">
        <v>1219327000</v>
      </c>
      <c r="F3" s="1">
        <v>2065659000</v>
      </c>
      <c r="G3" s="25">
        <v>2750000000</v>
      </c>
      <c r="H3" s="25">
        <v>3606000000</v>
      </c>
      <c r="I3" s="25">
        <v>4751000000</v>
      </c>
      <c r="J3" s="25">
        <v>6537000000</v>
      </c>
      <c r="K3" s="25">
        <v>8543000000</v>
      </c>
      <c r="L3" s="19" t="s">
        <v>107</v>
      </c>
      <c r="M3" s="20" t="s">
        <v>108</v>
      </c>
      <c r="N3" s="20" t="s">
        <v>109</v>
      </c>
      <c r="O3" s="20" t="s">
        <v>110</v>
      </c>
    </row>
    <row r="4" spans="1:38" ht="19" x14ac:dyDescent="0.25">
      <c r="A4" s="14" t="s">
        <v>93</v>
      </c>
      <c r="B4" s="1"/>
      <c r="C4" s="15">
        <f>(C3/B3)-1</f>
        <v>1.7387913020089796</v>
      </c>
      <c r="D4" s="15">
        <f>(D3/C3)-1</f>
        <v>1.2362737395561063</v>
      </c>
      <c r="E4" s="15">
        <f>(E3/D3)-1</f>
        <v>1.0595035208234456</v>
      </c>
      <c r="F4" s="15">
        <f t="shared" ref="F4:K4" si="0">(F3/E3)-1</f>
        <v>0.69409764566847132</v>
      </c>
      <c r="G4" s="16">
        <f t="shared" si="0"/>
        <v>0.33129427461163719</v>
      </c>
      <c r="H4" s="16">
        <f t="shared" si="0"/>
        <v>0.31127272727272737</v>
      </c>
      <c r="I4" s="16">
        <f t="shared" si="0"/>
        <v>0.31752634498058785</v>
      </c>
      <c r="J4" s="16">
        <f t="shared" si="0"/>
        <v>0.37592085876657544</v>
      </c>
      <c r="K4" s="16">
        <f t="shared" si="0"/>
        <v>0.30686859415634093</v>
      </c>
      <c r="L4" s="17">
        <f>(F4+E4+D4)/3</f>
        <v>0.99662496868267436</v>
      </c>
      <c r="M4" s="17">
        <f>(F20+E20+D20)/3</f>
        <v>0.28627370306388727</v>
      </c>
      <c r="N4" s="17">
        <f>(F29+E29+D29)/3</f>
        <v>0.32658024734885066</v>
      </c>
      <c r="O4" s="17">
        <f>(F106+E106+D106)/3</f>
        <v>1.867053429206335</v>
      </c>
      <c r="T4" s="16"/>
      <c r="U4" s="16"/>
      <c r="V4" s="16"/>
      <c r="W4" s="16"/>
      <c r="X4" s="16"/>
      <c r="Y4" s="16"/>
      <c r="Z4" s="16"/>
      <c r="AA4" s="16"/>
      <c r="AB4" s="16"/>
      <c r="AC4" s="16"/>
      <c r="AD4" s="16"/>
      <c r="AE4" s="16"/>
      <c r="AF4" s="16"/>
      <c r="AI4" s="18"/>
      <c r="AJ4" s="18"/>
      <c r="AK4" s="18"/>
      <c r="AL4" s="18"/>
    </row>
    <row r="5" spans="1:38" ht="19" x14ac:dyDescent="0.25">
      <c r="A5" s="5" t="s">
        <v>2</v>
      </c>
      <c r="B5" s="1">
        <v>51753000</v>
      </c>
      <c r="C5" s="1">
        <v>116557000</v>
      </c>
      <c r="D5" s="1">
        <v>242588000</v>
      </c>
      <c r="E5" s="1">
        <v>458433000</v>
      </c>
      <c r="F5" s="1">
        <v>717540000</v>
      </c>
    </row>
    <row r="6" spans="1:38" ht="20" x14ac:dyDescent="0.25">
      <c r="A6" s="6" t="s">
        <v>3</v>
      </c>
      <c r="B6" s="10">
        <v>44913000</v>
      </c>
      <c r="C6" s="10">
        <v>148191000</v>
      </c>
      <c r="D6" s="10">
        <v>349461000</v>
      </c>
      <c r="E6" s="10">
        <v>760894000</v>
      </c>
      <c r="F6" s="10">
        <v>1348119000</v>
      </c>
      <c r="G6" s="28">
        <f>G3*G7</f>
        <v>1859000000.0000002</v>
      </c>
      <c r="L6" s="67" t="s">
        <v>111</v>
      </c>
      <c r="M6" s="68" t="s">
        <v>112</v>
      </c>
      <c r="N6" s="68" t="s">
        <v>113</v>
      </c>
      <c r="O6" s="68" t="s">
        <v>114</v>
      </c>
    </row>
    <row r="7" spans="1:38" ht="19" x14ac:dyDescent="0.25">
      <c r="A7" s="5" t="s">
        <v>4</v>
      </c>
      <c r="B7" s="2">
        <v>0.46460000000000001</v>
      </c>
      <c r="C7" s="2">
        <v>0.55969999999999998</v>
      </c>
      <c r="D7" s="2">
        <v>0.59030000000000005</v>
      </c>
      <c r="E7" s="2">
        <v>0.624</v>
      </c>
      <c r="F7" s="2">
        <v>0.65259999999999996</v>
      </c>
      <c r="G7" s="2">
        <v>0.67600000000000005</v>
      </c>
      <c r="L7" s="17">
        <f>G7</f>
        <v>0.67600000000000005</v>
      </c>
      <c r="M7" s="21">
        <f>G21</f>
        <v>9.3600000000000003E-2</v>
      </c>
      <c r="N7" s="21">
        <f>G30</f>
        <v>8.8472727272727272E-2</v>
      </c>
      <c r="O7" s="21">
        <f>G107/G3</f>
        <v>0.19781818181818181</v>
      </c>
    </row>
    <row r="8" spans="1:38" ht="19" x14ac:dyDescent="0.25">
      <c r="A8" s="5" t="s">
        <v>5</v>
      </c>
      <c r="B8" s="1">
        <v>68681000</v>
      </c>
      <c r="C8" s="1">
        <v>105160000</v>
      </c>
      <c r="D8" s="1">
        <v>237946000</v>
      </c>
      <c r="E8" s="1">
        <v>466932000</v>
      </c>
      <c r="F8" s="1">
        <v>788058000</v>
      </c>
    </row>
    <row r="9" spans="1:38" ht="19" customHeight="1" x14ac:dyDescent="0.25">
      <c r="A9" s="14" t="s">
        <v>94</v>
      </c>
      <c r="B9" s="15">
        <f>B8/B3</f>
        <v>0.71049800343450642</v>
      </c>
      <c r="C9" s="15">
        <f t="shared" ref="C9:F9" si="1">C8/C3</f>
        <v>0.39720791091906266</v>
      </c>
      <c r="D9" s="15">
        <f t="shared" si="1"/>
        <v>0.40190254522851993</v>
      </c>
      <c r="E9" s="15">
        <f t="shared" si="1"/>
        <v>0.38294239363189692</v>
      </c>
      <c r="F9" s="15">
        <f t="shared" si="1"/>
        <v>0.38150440125887186</v>
      </c>
      <c r="G9" s="15"/>
      <c r="H9" s="15"/>
      <c r="L9" s="19" t="s">
        <v>95</v>
      </c>
      <c r="M9" s="20" t="s">
        <v>96</v>
      </c>
      <c r="N9" s="20" t="s">
        <v>97</v>
      </c>
      <c r="O9" s="20" t="s">
        <v>98</v>
      </c>
    </row>
    <row r="10" spans="1:38" ht="19" x14ac:dyDescent="0.25">
      <c r="A10" s="5" t="s">
        <v>6</v>
      </c>
      <c r="B10" s="1">
        <v>36055000</v>
      </c>
      <c r="C10" s="1">
        <v>107542000</v>
      </c>
      <c r="D10" s="1">
        <v>176135000</v>
      </c>
      <c r="E10" s="1">
        <v>265033000</v>
      </c>
      <c r="F10" s="1">
        <v>295821000</v>
      </c>
      <c r="L10" s="17">
        <f>F9</f>
        <v>0.38150440125887186</v>
      </c>
      <c r="M10" s="21">
        <f>F13</f>
        <v>0.67887681364639563</v>
      </c>
      <c r="N10" s="21">
        <f>F80</f>
        <v>0.41707416374145007</v>
      </c>
      <c r="O10" s="21">
        <f>F89</f>
        <v>1.2164640920887716E-2</v>
      </c>
    </row>
    <row r="11" spans="1:38" ht="19" x14ac:dyDescent="0.25">
      <c r="A11" s="5" t="s">
        <v>7</v>
      </c>
      <c r="B11" s="1">
        <v>125642000</v>
      </c>
      <c r="C11" s="1">
        <v>293577000</v>
      </c>
      <c r="D11" s="1">
        <v>479317000</v>
      </c>
      <c r="E11" s="1">
        <v>743965000</v>
      </c>
      <c r="F11" s="1">
        <v>1106507000</v>
      </c>
    </row>
    <row r="12" spans="1:38" ht="20" x14ac:dyDescent="0.25">
      <c r="A12" s="5" t="s">
        <v>8</v>
      </c>
      <c r="B12" s="1">
        <v>161697000</v>
      </c>
      <c r="C12" s="1">
        <v>401119000</v>
      </c>
      <c r="D12" s="1">
        <v>655452000</v>
      </c>
      <c r="E12" s="1">
        <v>1008998000</v>
      </c>
      <c r="F12" s="1">
        <v>1402328000</v>
      </c>
      <c r="L12" s="19" t="s">
        <v>115</v>
      </c>
      <c r="M12" s="20" t="s">
        <v>116</v>
      </c>
      <c r="N12" s="20" t="s">
        <v>117</v>
      </c>
      <c r="O12" s="20" t="s">
        <v>118</v>
      </c>
    </row>
    <row r="13" spans="1:38" ht="19" x14ac:dyDescent="0.25">
      <c r="A13" s="14" t="s">
        <v>99</v>
      </c>
      <c r="B13" s="15">
        <f>B12/B3</f>
        <v>1.6727391223387746</v>
      </c>
      <c r="C13" s="15">
        <f t="shared" ref="C13:F13" si="2">C12/C3</f>
        <v>1.5150973756175683</v>
      </c>
      <c r="D13" s="15">
        <f t="shared" si="2"/>
        <v>1.1070907982278493</v>
      </c>
      <c r="E13" s="15">
        <f t="shared" si="2"/>
        <v>0.82750402476120022</v>
      </c>
      <c r="F13" s="15">
        <f t="shared" si="2"/>
        <v>0.67887681364639563</v>
      </c>
      <c r="G13" s="15"/>
      <c r="H13" s="15"/>
      <c r="L13" s="17">
        <f>F28/F72</f>
        <v>-0.1460119755825964</v>
      </c>
      <c r="M13" s="21">
        <f>F28/F54</f>
        <v>-0.10316909862085523</v>
      </c>
      <c r="N13" s="21">
        <f>F22/(F72+F56+F61)</f>
        <v>-0.14755660996472728</v>
      </c>
      <c r="O13" s="22">
        <f>F67/F72</f>
        <v>0.40857017291140224</v>
      </c>
    </row>
    <row r="14" spans="1:38" ht="19" x14ac:dyDescent="0.25">
      <c r="A14" s="5" t="s">
        <v>9</v>
      </c>
      <c r="B14" s="1" t="s">
        <v>91</v>
      </c>
      <c r="C14" s="1" t="s">
        <v>91</v>
      </c>
      <c r="D14" s="1" t="s">
        <v>91</v>
      </c>
      <c r="E14" s="1" t="s">
        <v>91</v>
      </c>
      <c r="F14" s="1" t="s">
        <v>91</v>
      </c>
    </row>
    <row r="15" spans="1:38" ht="20" x14ac:dyDescent="0.25">
      <c r="A15" s="5" t="s">
        <v>10</v>
      </c>
      <c r="B15" s="1">
        <v>230378000</v>
      </c>
      <c r="C15" s="1">
        <v>506279000</v>
      </c>
      <c r="D15" s="1">
        <v>893398000</v>
      </c>
      <c r="E15" s="1">
        <v>1475930000</v>
      </c>
      <c r="F15" s="1">
        <v>2190386000</v>
      </c>
      <c r="L15" s="19" t="s">
        <v>155</v>
      </c>
      <c r="M15" s="20" t="s">
        <v>119</v>
      </c>
      <c r="N15" s="20" t="s">
        <v>120</v>
      </c>
      <c r="O15" s="20" t="s">
        <v>121</v>
      </c>
    </row>
    <row r="16" spans="1:38" ht="19" x14ac:dyDescent="0.25">
      <c r="A16" s="5" t="s">
        <v>11</v>
      </c>
      <c r="B16" s="1">
        <v>282131000</v>
      </c>
      <c r="C16" s="1">
        <v>622836000</v>
      </c>
      <c r="D16" s="1">
        <v>1135986000</v>
      </c>
      <c r="E16" s="1">
        <v>1934363000</v>
      </c>
      <c r="F16" s="1">
        <v>2907926000</v>
      </c>
      <c r="L16" s="26">
        <f>(F35+E35+D35+C35)/4</f>
        <v>0.20264518659597172</v>
      </c>
      <c r="M16" s="33">
        <f>N102/F3</f>
        <v>22.884895328803061</v>
      </c>
      <c r="N16" s="33">
        <f>N102/F28</f>
        <v>-59.334873008202536</v>
      </c>
      <c r="O16" s="34">
        <f>N102/F107</f>
        <v>95.211450576939725</v>
      </c>
    </row>
    <row r="17" spans="1:15" ht="19" x14ac:dyDescent="0.25">
      <c r="A17" s="5" t="s">
        <v>12</v>
      </c>
      <c r="B17" s="1" t="s">
        <v>91</v>
      </c>
      <c r="C17" s="1" t="s">
        <v>91</v>
      </c>
      <c r="D17" s="1" t="s">
        <v>91</v>
      </c>
      <c r="E17" s="1">
        <v>9129000</v>
      </c>
      <c r="F17" s="1">
        <v>73839000</v>
      </c>
    </row>
    <row r="18" spans="1:15" ht="20" x14ac:dyDescent="0.25">
      <c r="A18" s="5" t="s">
        <v>13</v>
      </c>
      <c r="B18" s="1">
        <v>1362000</v>
      </c>
      <c r="C18" s="1">
        <v>3522000</v>
      </c>
      <c r="D18" s="1">
        <v>9826000</v>
      </c>
      <c r="E18" s="1">
        <v>21498000</v>
      </c>
      <c r="F18" s="1">
        <v>67032000</v>
      </c>
      <c r="L18" s="19" t="s">
        <v>122</v>
      </c>
      <c r="M18" s="20" t="s">
        <v>156</v>
      </c>
      <c r="N18" s="20" t="s">
        <v>157</v>
      </c>
      <c r="O18" s="20" t="s">
        <v>158</v>
      </c>
    </row>
    <row r="19" spans="1:15" ht="19" x14ac:dyDescent="0.25">
      <c r="A19" s="6" t="s">
        <v>14</v>
      </c>
      <c r="B19" s="10">
        <v>-175846000</v>
      </c>
      <c r="C19" s="10">
        <v>-344020000</v>
      </c>
      <c r="D19" s="10">
        <v>-527214000</v>
      </c>
      <c r="E19" s="10">
        <v>-646333000</v>
      </c>
      <c r="F19" s="10">
        <v>-711206000</v>
      </c>
      <c r="G19" s="28">
        <v>257400000</v>
      </c>
      <c r="H19" s="28">
        <v>416700000</v>
      </c>
      <c r="I19" s="28">
        <v>691000000</v>
      </c>
      <c r="J19" s="28">
        <v>1006000000</v>
      </c>
      <c r="K19" s="28">
        <v>1742000000</v>
      </c>
      <c r="L19" s="27">
        <f>F40-F56-F61</f>
        <v>3756210000</v>
      </c>
      <c r="M19" s="33">
        <f>N102/G3</f>
        <v>17.189959999999999</v>
      </c>
      <c r="N19" s="33">
        <f>N102/G28</f>
        <v>194.29671187833949</v>
      </c>
      <c r="O19" s="34">
        <f>N102/G107</f>
        <v>86.897775735294118</v>
      </c>
    </row>
    <row r="20" spans="1:15" ht="19" customHeight="1" x14ac:dyDescent="0.25">
      <c r="A20" s="14" t="s">
        <v>100</v>
      </c>
      <c r="B20" s="1"/>
      <c r="C20" s="15">
        <f>(C19/B19)-1</f>
        <v>0.95637091546011854</v>
      </c>
      <c r="D20" s="15">
        <f>(D19/C19)-1</f>
        <v>0.53250973780594157</v>
      </c>
      <c r="E20" s="15">
        <f>(E19/D19)-1</f>
        <v>0.22594050992576076</v>
      </c>
      <c r="F20" s="15">
        <f t="shared" ref="F20" si="3">(F19/E19)-1</f>
        <v>0.10037086145995944</v>
      </c>
      <c r="G20" s="16">
        <f t="shared" ref="G20" si="4">(G19/F19)-1</f>
        <v>-1.3619204562391207</v>
      </c>
      <c r="H20" s="16">
        <f t="shared" ref="H20" si="5">(H19/G19)-1</f>
        <v>0.61888111888111896</v>
      </c>
      <c r="I20" s="16">
        <f t="shared" ref="I20" si="6">(I19/H19)-1</f>
        <v>0.65826733861291098</v>
      </c>
      <c r="J20" s="16">
        <f t="shared" ref="J20" si="7">(J19/I19)-1</f>
        <v>0.45586107091172212</v>
      </c>
      <c r="K20" s="16">
        <f t="shared" ref="K20" si="8">(K19/J19)-1</f>
        <v>0.73161033797216701</v>
      </c>
    </row>
    <row r="21" spans="1:15" ht="20" x14ac:dyDescent="0.25">
      <c r="A21" s="5" t="s">
        <v>15</v>
      </c>
      <c r="B21" s="2">
        <v>-1.8190999999999999</v>
      </c>
      <c r="C21" s="2">
        <v>-1.2994000000000001</v>
      </c>
      <c r="D21" s="2">
        <v>-0.89049999999999996</v>
      </c>
      <c r="E21" s="2">
        <v>-0.53010000000000002</v>
      </c>
      <c r="F21" s="2">
        <v>-0.34429999999999999</v>
      </c>
      <c r="G21" s="29">
        <f>G19/G3</f>
        <v>9.3600000000000003E-2</v>
      </c>
      <c r="H21" s="29">
        <f t="shared" ref="H21:K21" si="9">H19/H3</f>
        <v>0.11555740432612313</v>
      </c>
      <c r="I21" s="29">
        <f t="shared" si="9"/>
        <v>0.14544306461797515</v>
      </c>
      <c r="J21" s="29">
        <f t="shared" si="9"/>
        <v>0.15389322319106624</v>
      </c>
      <c r="K21" s="29">
        <f t="shared" si="9"/>
        <v>0.20390963361816691</v>
      </c>
      <c r="M21" s="43" t="s">
        <v>166</v>
      </c>
      <c r="N21" s="19" t="s">
        <v>163</v>
      </c>
      <c r="O21" s="20" t="s">
        <v>165</v>
      </c>
    </row>
    <row r="22" spans="1:15" ht="19" x14ac:dyDescent="0.25">
      <c r="A22" s="6" t="s">
        <v>16</v>
      </c>
      <c r="B22" s="10">
        <v>-185465000</v>
      </c>
      <c r="C22" s="10">
        <v>-358088000</v>
      </c>
      <c r="D22" s="10">
        <v>-543937000</v>
      </c>
      <c r="E22" s="10">
        <v>-715036000</v>
      </c>
      <c r="F22" s="10">
        <v>-842267000</v>
      </c>
      <c r="M22" s="17">
        <f>SUM(H29:K29)/4</f>
        <v>0.38062799679848364</v>
      </c>
      <c r="N22" s="36">
        <f>(-1*F98)/N102</f>
        <v>0</v>
      </c>
      <c r="O22" s="37">
        <f>G107/N102</f>
        <v>1.1507774411236665E-2</v>
      </c>
    </row>
    <row r="23" spans="1:15" ht="19" x14ac:dyDescent="0.25">
      <c r="A23" s="5" t="s">
        <v>17</v>
      </c>
      <c r="B23" s="2">
        <v>-1.9186000000000001</v>
      </c>
      <c r="C23" s="2">
        <v>-1.3526</v>
      </c>
      <c r="D23" s="2">
        <v>-0.91869999999999996</v>
      </c>
      <c r="E23" s="2">
        <v>-0.58640000000000003</v>
      </c>
      <c r="F23" s="2">
        <v>-0.40770000000000001</v>
      </c>
    </row>
    <row r="24" spans="1:15" ht="19" x14ac:dyDescent="0.25">
      <c r="A24" s="5" t="s">
        <v>18</v>
      </c>
      <c r="B24" s="1">
        <v>8257000</v>
      </c>
      <c r="C24" s="1">
        <v>10546000</v>
      </c>
      <c r="D24" s="1">
        <v>6897000</v>
      </c>
      <c r="E24" s="1">
        <v>38076000</v>
      </c>
      <c r="F24" s="1">
        <v>26274000</v>
      </c>
    </row>
    <row r="25" spans="1:15" ht="19" x14ac:dyDescent="0.25">
      <c r="A25" s="6" t="s">
        <v>19</v>
      </c>
      <c r="B25" s="10">
        <v>-177208000</v>
      </c>
      <c r="C25" s="10">
        <v>-347542000</v>
      </c>
      <c r="D25" s="10">
        <v>-537040000</v>
      </c>
      <c r="E25" s="10">
        <v>-676960000</v>
      </c>
      <c r="F25" s="10">
        <v>-815993000</v>
      </c>
    </row>
    <row r="26" spans="1:15" ht="19" x14ac:dyDescent="0.25">
      <c r="A26" s="5" t="s">
        <v>20</v>
      </c>
      <c r="B26" s="2">
        <v>-1.8331999999999999</v>
      </c>
      <c r="C26" s="2">
        <v>-1.3127</v>
      </c>
      <c r="D26" s="2">
        <v>-0.90710000000000002</v>
      </c>
      <c r="E26" s="2">
        <v>-0.55520000000000003</v>
      </c>
      <c r="F26" s="2">
        <v>-0.39500000000000002</v>
      </c>
    </row>
    <row r="27" spans="1:15" ht="19" x14ac:dyDescent="0.25">
      <c r="A27" s="5" t="s">
        <v>21</v>
      </c>
      <c r="B27" s="1">
        <v>820000</v>
      </c>
      <c r="C27" s="1">
        <v>993000</v>
      </c>
      <c r="D27" s="1">
        <v>2062000</v>
      </c>
      <c r="E27" s="1">
        <v>2988000</v>
      </c>
      <c r="F27" s="1">
        <v>18467000</v>
      </c>
    </row>
    <row r="28" spans="1:15" ht="20" thickBot="1" x14ac:dyDescent="0.3">
      <c r="A28" s="7" t="s">
        <v>22</v>
      </c>
      <c r="B28" s="11">
        <v>-178028000</v>
      </c>
      <c r="C28" s="11">
        <v>-348535000</v>
      </c>
      <c r="D28" s="11">
        <v>-539102000</v>
      </c>
      <c r="E28" s="11">
        <v>-679948000</v>
      </c>
      <c r="F28" s="11">
        <v>-796705000</v>
      </c>
      <c r="G28" s="30">
        <v>243300000</v>
      </c>
      <c r="H28" s="30">
        <v>368000000</v>
      </c>
      <c r="I28" s="30">
        <v>588400000</v>
      </c>
      <c r="J28" s="30">
        <v>516000000</v>
      </c>
      <c r="K28" s="30">
        <v>791600000</v>
      </c>
    </row>
    <row r="29" spans="1:15" ht="20" customHeight="1" thickTop="1" x14ac:dyDescent="0.25">
      <c r="A29" s="14" t="s">
        <v>101</v>
      </c>
      <c r="B29" s="1"/>
      <c r="C29" s="15">
        <f>(C28/B28)-1</f>
        <v>0.95775383647516121</v>
      </c>
      <c r="D29" s="15">
        <f>(D28/C28)-1</f>
        <v>0.54676574805973566</v>
      </c>
      <c r="E29" s="15">
        <f>(E28/D28)-1</f>
        <v>0.26126039228198006</v>
      </c>
      <c r="F29" s="15">
        <f t="shared" ref="F29" si="10">(F28/E28)-1</f>
        <v>0.17171460170483632</v>
      </c>
      <c r="G29" s="16">
        <f t="shared" ref="G29" si="11">(G28/F28)-1</f>
        <v>-1.3053827953885064</v>
      </c>
      <c r="H29" s="16">
        <f t="shared" ref="H29" si="12">(H28/G28)-1</f>
        <v>0.51253596383066169</v>
      </c>
      <c r="I29" s="16">
        <f t="shared" ref="I29" si="13">(I28/H28)-1</f>
        <v>0.5989130434782608</v>
      </c>
      <c r="J29" s="16">
        <f t="shared" ref="J29" si="14">(J28/I28)-1</f>
        <v>-0.12304554724677086</v>
      </c>
      <c r="K29" s="16">
        <f t="shared" ref="K29" si="15">(K28/J28)-1</f>
        <v>0.53410852713178292</v>
      </c>
    </row>
    <row r="30" spans="1:15" ht="19" x14ac:dyDescent="0.25">
      <c r="A30" s="5" t="s">
        <v>23</v>
      </c>
      <c r="B30" s="2">
        <v>-1.8416999999999999</v>
      </c>
      <c r="C30" s="2">
        <v>-1.3165</v>
      </c>
      <c r="D30" s="2">
        <v>-0.91059999999999997</v>
      </c>
      <c r="E30" s="2">
        <v>-0.55759999999999998</v>
      </c>
      <c r="F30" s="2">
        <v>-0.38569999999999999</v>
      </c>
      <c r="G30" s="31">
        <f>G28/G3</f>
        <v>8.8472727272727272E-2</v>
      </c>
      <c r="H30" s="31">
        <f t="shared" ref="H30:K30" si="16">H28/H3</f>
        <v>0.10205213533000555</v>
      </c>
      <c r="I30" s="31">
        <f t="shared" si="16"/>
        <v>0.123847611029257</v>
      </c>
      <c r="J30" s="31">
        <f t="shared" si="16"/>
        <v>7.8935291418081685E-2</v>
      </c>
      <c r="K30" s="31">
        <f t="shared" si="16"/>
        <v>9.2660657848530961E-2</v>
      </c>
    </row>
    <row r="31" spans="1:15" ht="19" x14ac:dyDescent="0.25">
      <c r="A31" s="5" t="s">
        <v>24</v>
      </c>
      <c r="B31" s="12">
        <v>-0.75</v>
      </c>
      <c r="C31" s="12">
        <v>-1.63</v>
      </c>
      <c r="D31" s="12">
        <v>-3.81</v>
      </c>
      <c r="E31" s="12">
        <v>-2.2599999999999998</v>
      </c>
      <c r="F31" s="12">
        <v>-2.5</v>
      </c>
      <c r="G31" s="32">
        <v>0.75</v>
      </c>
      <c r="H31" s="32">
        <v>1.1299999999999999</v>
      </c>
      <c r="I31" s="32">
        <v>1.81</v>
      </c>
      <c r="J31" s="32">
        <v>1.58</v>
      </c>
      <c r="K31" s="32">
        <v>2.4300000000000002</v>
      </c>
    </row>
    <row r="32" spans="1:15" ht="19" x14ac:dyDescent="0.25">
      <c r="A32" s="5" t="s">
        <v>25</v>
      </c>
      <c r="B32" s="12">
        <v>-0.75</v>
      </c>
      <c r="C32" s="12">
        <v>-1.63</v>
      </c>
      <c r="D32" s="12">
        <v>-3.81</v>
      </c>
      <c r="E32" s="12">
        <v>-2.2599999999999998</v>
      </c>
      <c r="F32" s="12">
        <v>-2.5</v>
      </c>
    </row>
    <row r="33" spans="1:7" ht="19" x14ac:dyDescent="0.25">
      <c r="A33" s="5" t="s">
        <v>26</v>
      </c>
      <c r="B33" s="1">
        <v>238369506</v>
      </c>
      <c r="C33" s="1">
        <v>214327427</v>
      </c>
      <c r="D33" s="1">
        <v>141613196</v>
      </c>
      <c r="E33" s="1">
        <v>141613196</v>
      </c>
      <c r="F33" s="1">
        <v>318730000</v>
      </c>
      <c r="G33" s="1" cm="1">
        <f t="array" ref="G33">_FV(A1,"Shares outstanding",TRUE)</f>
        <v>329700000</v>
      </c>
    </row>
    <row r="34" spans="1:7" ht="19" x14ac:dyDescent="0.25">
      <c r="A34" s="5" t="s">
        <v>27</v>
      </c>
      <c r="B34" s="1">
        <v>238369506</v>
      </c>
      <c r="C34" s="1">
        <v>214327427</v>
      </c>
      <c r="D34" s="1">
        <v>141613196</v>
      </c>
      <c r="E34" s="1">
        <v>141613196</v>
      </c>
      <c r="F34" s="1">
        <v>318730000</v>
      </c>
      <c r="G34" s="1" cm="1">
        <f t="array" ref="G34">_FV(A1,"Shares outstanding",TRUE)</f>
        <v>329700000</v>
      </c>
    </row>
    <row r="35" spans="1:7" ht="20" customHeight="1" x14ac:dyDescent="0.25">
      <c r="A35" s="14" t="s">
        <v>102</v>
      </c>
      <c r="B35" s="1"/>
      <c r="C35" s="23">
        <f>(C34-B34)/B34</f>
        <v>-0.10086054799308096</v>
      </c>
      <c r="D35" s="23">
        <f t="shared" ref="D35:G35" si="17">(D34-C34)/C34</f>
        <v>-0.33926703650485202</v>
      </c>
      <c r="E35" s="23">
        <f t="shared" si="17"/>
        <v>0</v>
      </c>
      <c r="F35" s="23">
        <f t="shared" si="17"/>
        <v>1.2507083308818199</v>
      </c>
      <c r="G35" s="23">
        <f t="shared" si="17"/>
        <v>3.4417845825620429E-2</v>
      </c>
    </row>
    <row r="36" spans="1:7" ht="19" x14ac:dyDescent="0.25">
      <c r="A36" s="5" t="s">
        <v>28</v>
      </c>
      <c r="B36" s="13" t="s">
        <v>92</v>
      </c>
      <c r="C36" s="13" t="s">
        <v>92</v>
      </c>
      <c r="D36" s="13" t="s">
        <v>92</v>
      </c>
      <c r="E36" s="13" t="s">
        <v>92</v>
      </c>
      <c r="F36" s="13" t="s">
        <v>92</v>
      </c>
    </row>
    <row r="37" spans="1:7" ht="21" x14ac:dyDescent="0.25">
      <c r="A37" s="4" t="s">
        <v>29</v>
      </c>
      <c r="B37" s="9" t="s">
        <v>90</v>
      </c>
      <c r="C37" s="9" t="s">
        <v>90</v>
      </c>
      <c r="D37" s="9" t="s">
        <v>90</v>
      </c>
      <c r="E37" s="9" t="s">
        <v>90</v>
      </c>
      <c r="F37" s="9" t="s">
        <v>90</v>
      </c>
    </row>
    <row r="38" spans="1:7" ht="19" x14ac:dyDescent="0.25">
      <c r="A38" s="5" t="s">
        <v>30</v>
      </c>
      <c r="B38" s="1">
        <v>116541000</v>
      </c>
      <c r="C38" s="1">
        <v>127206000</v>
      </c>
      <c r="D38" s="1">
        <v>820177000</v>
      </c>
      <c r="E38" s="1">
        <v>1085729000</v>
      </c>
      <c r="F38" s="1">
        <v>939902000</v>
      </c>
    </row>
    <row r="39" spans="1:7" ht="19" x14ac:dyDescent="0.25">
      <c r="A39" s="5" t="s">
        <v>31</v>
      </c>
      <c r="B39" s="1">
        <v>492257000</v>
      </c>
      <c r="C39" s="1">
        <v>306844000</v>
      </c>
      <c r="D39" s="1">
        <v>3087887000</v>
      </c>
      <c r="E39" s="1">
        <v>2766364000</v>
      </c>
      <c r="F39" s="1">
        <v>3067966000</v>
      </c>
    </row>
    <row r="40" spans="1:7" ht="19" x14ac:dyDescent="0.25">
      <c r="A40" s="5" t="s">
        <v>32</v>
      </c>
      <c r="B40" s="1">
        <v>608798000</v>
      </c>
      <c r="C40" s="1">
        <v>434050000</v>
      </c>
      <c r="D40" s="1">
        <v>3908064000</v>
      </c>
      <c r="E40" s="1">
        <v>3852093000</v>
      </c>
      <c r="F40" s="1">
        <v>4007868000</v>
      </c>
    </row>
    <row r="41" spans="1:7" ht="19" x14ac:dyDescent="0.25">
      <c r="A41" s="5" t="s">
        <v>33</v>
      </c>
      <c r="B41" s="1">
        <v>63359000</v>
      </c>
      <c r="C41" s="1">
        <v>179459000</v>
      </c>
      <c r="D41" s="1">
        <v>294017000</v>
      </c>
      <c r="E41" s="1">
        <v>545629000</v>
      </c>
      <c r="F41" s="1">
        <v>715821000</v>
      </c>
    </row>
    <row r="42" spans="1:7" ht="19" x14ac:dyDescent="0.25">
      <c r="A42" s="5" t="s">
        <v>34</v>
      </c>
      <c r="B42" s="1" t="s">
        <v>91</v>
      </c>
      <c r="C42" s="1" t="s">
        <v>91</v>
      </c>
      <c r="D42" s="1" t="s">
        <v>91</v>
      </c>
      <c r="E42" s="1" t="s">
        <v>91</v>
      </c>
      <c r="F42" s="1" t="s">
        <v>91</v>
      </c>
    </row>
    <row r="43" spans="1:7" ht="19" x14ac:dyDescent="0.25">
      <c r="A43" s="5" t="s">
        <v>35</v>
      </c>
      <c r="B43" s="1">
        <v>26795000</v>
      </c>
      <c r="C43" s="1">
        <v>51685000</v>
      </c>
      <c r="D43" s="1">
        <v>98571000</v>
      </c>
      <c r="E43" s="1">
        <v>200921000</v>
      </c>
      <c r="F43" s="1">
        <v>261001000</v>
      </c>
    </row>
    <row r="44" spans="1:7" ht="19" x14ac:dyDescent="0.25">
      <c r="A44" s="6" t="s">
        <v>36</v>
      </c>
      <c r="B44" s="10">
        <v>698952000</v>
      </c>
      <c r="C44" s="10">
        <v>665194000</v>
      </c>
      <c r="D44" s="10">
        <v>4300652000</v>
      </c>
      <c r="E44" s="10">
        <v>4598643000</v>
      </c>
      <c r="F44" s="10">
        <v>4984690000</v>
      </c>
    </row>
    <row r="45" spans="1:7" ht="19" x14ac:dyDescent="0.25">
      <c r="A45" s="5" t="s">
        <v>37</v>
      </c>
      <c r="B45" s="1">
        <v>22756000</v>
      </c>
      <c r="C45" s="1">
        <v>223112000</v>
      </c>
      <c r="D45" s="1">
        <v>255786000</v>
      </c>
      <c r="E45" s="1">
        <v>295435000</v>
      </c>
      <c r="F45" s="1">
        <v>392089000</v>
      </c>
    </row>
    <row r="46" spans="1:7" ht="19" x14ac:dyDescent="0.25">
      <c r="A46" s="5" t="s">
        <v>38</v>
      </c>
      <c r="B46" s="1" t="s">
        <v>91</v>
      </c>
      <c r="C46" s="1">
        <v>7049000</v>
      </c>
      <c r="D46" s="1">
        <v>8449000</v>
      </c>
      <c r="E46" s="1">
        <v>8449000</v>
      </c>
      <c r="F46" s="1">
        <v>657370000</v>
      </c>
    </row>
    <row r="47" spans="1:7" ht="19" x14ac:dyDescent="0.25">
      <c r="A47" s="5" t="s">
        <v>39</v>
      </c>
      <c r="B47" s="1">
        <v>20000</v>
      </c>
      <c r="C47" s="1">
        <v>4795000</v>
      </c>
      <c r="D47" s="1">
        <v>16091000</v>
      </c>
      <c r="E47" s="1">
        <v>37141000</v>
      </c>
      <c r="F47" s="1">
        <v>186013000</v>
      </c>
    </row>
    <row r="48" spans="1:7" ht="19" x14ac:dyDescent="0.25">
      <c r="A48" s="5" t="s">
        <v>40</v>
      </c>
      <c r="B48" s="1">
        <v>20000</v>
      </c>
      <c r="C48" s="1">
        <v>11844000</v>
      </c>
      <c r="D48" s="1">
        <v>24540000</v>
      </c>
      <c r="E48" s="1">
        <v>45590000</v>
      </c>
      <c r="F48" s="1">
        <v>843383000</v>
      </c>
    </row>
    <row r="49" spans="1:6" ht="19" x14ac:dyDescent="0.25">
      <c r="A49" s="5" t="s">
        <v>41</v>
      </c>
      <c r="B49" s="1" t="s">
        <v>91</v>
      </c>
      <c r="C49" s="1">
        <v>23532000</v>
      </c>
      <c r="D49" s="1">
        <v>1165275000</v>
      </c>
      <c r="E49" s="1">
        <v>1256207000</v>
      </c>
      <c r="F49" s="1">
        <v>1073023000</v>
      </c>
    </row>
    <row r="50" spans="1:6" ht="19" x14ac:dyDescent="0.25">
      <c r="A50" s="5" t="s">
        <v>42</v>
      </c>
      <c r="B50" s="1" t="s">
        <v>91</v>
      </c>
      <c r="C50" s="1" t="s">
        <v>91</v>
      </c>
      <c r="D50" s="1" t="s">
        <v>91</v>
      </c>
      <c r="E50" s="1" t="s">
        <v>91</v>
      </c>
      <c r="F50" s="1" t="s">
        <v>91</v>
      </c>
    </row>
    <row r="51" spans="1:6" ht="19" x14ac:dyDescent="0.25">
      <c r="A51" s="5" t="s">
        <v>43</v>
      </c>
      <c r="B51" s="1">
        <v>42560000</v>
      </c>
      <c r="C51" s="1">
        <v>89038000</v>
      </c>
      <c r="D51" s="1">
        <v>175486000</v>
      </c>
      <c r="E51" s="1">
        <v>453823000</v>
      </c>
      <c r="F51" s="1">
        <v>429137000</v>
      </c>
    </row>
    <row r="52" spans="1:6" ht="19" x14ac:dyDescent="0.25">
      <c r="A52" s="5" t="s">
        <v>44</v>
      </c>
      <c r="B52" s="1">
        <v>65336000</v>
      </c>
      <c r="C52" s="1">
        <v>347526000</v>
      </c>
      <c r="D52" s="1">
        <v>1621087000</v>
      </c>
      <c r="E52" s="1">
        <v>2051055000</v>
      </c>
      <c r="F52" s="1">
        <v>2737632000</v>
      </c>
    </row>
    <row r="53" spans="1:6" ht="19" x14ac:dyDescent="0.25">
      <c r="A53" s="5" t="s">
        <v>45</v>
      </c>
      <c r="B53" s="1" t="s">
        <v>91</v>
      </c>
      <c r="C53" s="1" t="s">
        <v>91</v>
      </c>
      <c r="D53" s="1" t="s">
        <v>91</v>
      </c>
      <c r="E53" s="1" t="s">
        <v>91</v>
      </c>
      <c r="F53" s="1" t="s">
        <v>91</v>
      </c>
    </row>
    <row r="54" spans="1:6" ht="19" x14ac:dyDescent="0.25">
      <c r="A54" s="7" t="s">
        <v>46</v>
      </c>
      <c r="B54" s="11">
        <v>764288000</v>
      </c>
      <c r="C54" s="11">
        <v>1012720000</v>
      </c>
      <c r="D54" s="11">
        <v>5921739000</v>
      </c>
      <c r="E54" s="11">
        <v>6649698000</v>
      </c>
      <c r="F54" s="11">
        <v>7722322000</v>
      </c>
    </row>
    <row r="55" spans="1:6" ht="19" x14ac:dyDescent="0.25">
      <c r="A55" s="5" t="s">
        <v>47</v>
      </c>
      <c r="B55" s="1">
        <v>8258000</v>
      </c>
      <c r="C55" s="1">
        <v>8488000</v>
      </c>
      <c r="D55" s="1">
        <v>5647000</v>
      </c>
      <c r="E55" s="1">
        <v>13441000</v>
      </c>
      <c r="F55" s="1">
        <v>23672000</v>
      </c>
    </row>
    <row r="56" spans="1:6" ht="19" x14ac:dyDescent="0.25">
      <c r="A56" s="5" t="s">
        <v>48</v>
      </c>
      <c r="B56" s="1" t="s">
        <v>91</v>
      </c>
      <c r="C56" s="1" t="s">
        <v>91</v>
      </c>
      <c r="D56" s="1">
        <v>19650000</v>
      </c>
      <c r="E56" s="1">
        <v>25101000</v>
      </c>
      <c r="F56" s="1">
        <v>27301000</v>
      </c>
    </row>
    <row r="57" spans="1:6" ht="19" x14ac:dyDescent="0.25">
      <c r="A57" s="5" t="s">
        <v>49</v>
      </c>
      <c r="B57" s="1" t="s">
        <v>91</v>
      </c>
      <c r="C57" s="1" t="s">
        <v>91</v>
      </c>
      <c r="D57" s="1">
        <v>4498000</v>
      </c>
      <c r="E57" s="1">
        <v>12709000</v>
      </c>
      <c r="F57" s="1" t="s">
        <v>91</v>
      </c>
    </row>
    <row r="58" spans="1:6" ht="19" x14ac:dyDescent="0.25">
      <c r="A58" s="5" t="s">
        <v>50</v>
      </c>
      <c r="B58" s="1">
        <v>104020000</v>
      </c>
      <c r="C58" s="1">
        <v>327058000</v>
      </c>
      <c r="D58" s="1">
        <v>638652000</v>
      </c>
      <c r="E58" s="1">
        <v>1157887000</v>
      </c>
      <c r="F58" s="1">
        <v>1673475000</v>
      </c>
    </row>
    <row r="59" spans="1:6" ht="19" x14ac:dyDescent="0.25">
      <c r="A59" s="5" t="s">
        <v>51</v>
      </c>
      <c r="B59" s="1">
        <v>32627000</v>
      </c>
      <c r="C59" s="1">
        <v>80909000</v>
      </c>
      <c r="D59" s="1">
        <v>120817000</v>
      </c>
      <c r="E59" s="1">
        <v>187955000</v>
      </c>
      <c r="F59" s="1">
        <v>269069000</v>
      </c>
    </row>
    <row r="60" spans="1:6" ht="19" x14ac:dyDescent="0.25">
      <c r="A60" s="6" t="s">
        <v>52</v>
      </c>
      <c r="B60" s="10">
        <v>144905000</v>
      </c>
      <c r="C60" s="10">
        <v>416455000</v>
      </c>
      <c r="D60" s="10">
        <v>789264000</v>
      </c>
      <c r="E60" s="10">
        <v>1397093000</v>
      </c>
      <c r="F60" s="10">
        <v>1993517000</v>
      </c>
    </row>
    <row r="61" spans="1:6" ht="19" x14ac:dyDescent="0.25">
      <c r="A61" s="5" t="s">
        <v>53</v>
      </c>
      <c r="B61" s="1" t="s">
        <v>91</v>
      </c>
      <c r="C61" s="1" t="s">
        <v>91</v>
      </c>
      <c r="D61" s="1">
        <v>184887000</v>
      </c>
      <c r="E61" s="1">
        <v>181196000</v>
      </c>
      <c r="F61" s="1">
        <v>224357000</v>
      </c>
    </row>
    <row r="62" spans="1:6" ht="19" x14ac:dyDescent="0.25">
      <c r="A62" s="5" t="s">
        <v>50</v>
      </c>
      <c r="B62" s="1">
        <v>2984000</v>
      </c>
      <c r="C62" s="1">
        <v>2907000</v>
      </c>
      <c r="D62" s="1">
        <v>4194000</v>
      </c>
      <c r="E62" s="1">
        <v>11180000</v>
      </c>
      <c r="F62" s="1">
        <v>11463000</v>
      </c>
    </row>
    <row r="63" spans="1:6" ht="19" x14ac:dyDescent="0.25">
      <c r="A63" s="5" t="s">
        <v>54</v>
      </c>
      <c r="B63" s="1" t="s">
        <v>91</v>
      </c>
      <c r="C63" s="1" t="s">
        <v>91</v>
      </c>
      <c r="D63" s="1" t="s">
        <v>91</v>
      </c>
      <c r="E63" s="1" t="s">
        <v>91</v>
      </c>
      <c r="F63" s="1" t="s">
        <v>91</v>
      </c>
    </row>
    <row r="64" spans="1:6" ht="19" x14ac:dyDescent="0.25">
      <c r="A64" s="5" t="s">
        <v>55</v>
      </c>
      <c r="B64" s="1">
        <v>928866000</v>
      </c>
      <c r="C64" s="1">
        <v>1138115000</v>
      </c>
      <c r="D64" s="1">
        <v>6923000</v>
      </c>
      <c r="E64" s="1">
        <v>11184000</v>
      </c>
      <c r="F64" s="1" t="s">
        <v>91</v>
      </c>
    </row>
    <row r="65" spans="1:6" ht="19" x14ac:dyDescent="0.25">
      <c r="A65" s="5" t="s">
        <v>56</v>
      </c>
      <c r="B65" s="1">
        <v>931850000</v>
      </c>
      <c r="C65" s="1">
        <v>1141022000</v>
      </c>
      <c r="D65" s="1">
        <v>196004000</v>
      </c>
      <c r="E65" s="1">
        <v>203560000</v>
      </c>
      <c r="F65" s="1">
        <v>235820000</v>
      </c>
    </row>
    <row r="66" spans="1:6" ht="19" x14ac:dyDescent="0.25">
      <c r="A66" s="5" t="s">
        <v>57</v>
      </c>
      <c r="B66" s="1" t="s">
        <v>91</v>
      </c>
      <c r="C66" s="1" t="s">
        <v>91</v>
      </c>
      <c r="D66" s="1" t="s">
        <v>91</v>
      </c>
      <c r="E66" s="1" t="s">
        <v>91</v>
      </c>
      <c r="F66" s="1" t="s">
        <v>91</v>
      </c>
    </row>
    <row r="67" spans="1:6" ht="19" x14ac:dyDescent="0.25">
      <c r="A67" s="6" t="s">
        <v>58</v>
      </c>
      <c r="B67" s="10">
        <v>1076755000</v>
      </c>
      <c r="C67" s="10">
        <v>1557477000</v>
      </c>
      <c r="D67" s="10">
        <v>985268000</v>
      </c>
      <c r="E67" s="10">
        <v>1600653000</v>
      </c>
      <c r="F67" s="10">
        <v>2229337000</v>
      </c>
    </row>
    <row r="68" spans="1:6" ht="19" x14ac:dyDescent="0.25">
      <c r="A68" s="5" t="s">
        <v>59</v>
      </c>
      <c r="B68" s="1">
        <v>5000</v>
      </c>
      <c r="C68" s="1">
        <v>6000</v>
      </c>
      <c r="D68" s="1">
        <v>28000</v>
      </c>
      <c r="E68" s="1">
        <v>31000</v>
      </c>
      <c r="F68" s="1" t="s">
        <v>91</v>
      </c>
    </row>
    <row r="69" spans="1:6" ht="19" x14ac:dyDescent="0.25">
      <c r="A69" s="5" t="s">
        <v>60</v>
      </c>
      <c r="B69" s="1">
        <v>-351784000</v>
      </c>
      <c r="C69" s="1">
        <v>-700319000</v>
      </c>
      <c r="D69" s="1">
        <v>-1239421000</v>
      </c>
      <c r="E69" s="1">
        <v>-1919369000</v>
      </c>
      <c r="F69" s="1">
        <v>-2716074000</v>
      </c>
    </row>
    <row r="70" spans="1:6" ht="19" x14ac:dyDescent="0.25">
      <c r="A70" s="5" t="s">
        <v>61</v>
      </c>
      <c r="B70" s="1">
        <v>-3802000</v>
      </c>
      <c r="C70" s="1">
        <v>-4932000</v>
      </c>
      <c r="D70" s="1">
        <v>439000</v>
      </c>
      <c r="E70" s="1">
        <v>-16286000</v>
      </c>
      <c r="F70" s="1" t="s">
        <v>91</v>
      </c>
    </row>
    <row r="71" spans="1:6" ht="19" x14ac:dyDescent="0.25">
      <c r="A71" s="5" t="s">
        <v>62</v>
      </c>
      <c r="B71" s="1">
        <v>43114000</v>
      </c>
      <c r="C71" s="1">
        <v>160488000</v>
      </c>
      <c r="D71" s="1">
        <v>6175425000</v>
      </c>
      <c r="E71" s="1">
        <v>6984669000</v>
      </c>
      <c r="F71" s="1">
        <v>2716074000</v>
      </c>
    </row>
    <row r="72" spans="1:6" ht="19" x14ac:dyDescent="0.25">
      <c r="A72" s="6" t="s">
        <v>63</v>
      </c>
      <c r="B72" s="10">
        <v>-312467000</v>
      </c>
      <c r="C72" s="10">
        <v>-544757000</v>
      </c>
      <c r="D72" s="10">
        <v>4936471000</v>
      </c>
      <c r="E72" s="10">
        <v>5049045000</v>
      </c>
      <c r="F72" s="10">
        <v>5456436000</v>
      </c>
    </row>
    <row r="73" spans="1:6" ht="19" x14ac:dyDescent="0.25">
      <c r="A73" s="7" t="s">
        <v>64</v>
      </c>
      <c r="B73" s="11">
        <v>764288000</v>
      </c>
      <c r="C73" s="11">
        <v>1012720000</v>
      </c>
      <c r="D73" s="11">
        <v>5921739000</v>
      </c>
      <c r="E73" s="11">
        <v>6649698000</v>
      </c>
      <c r="F73" s="11">
        <v>7722322000</v>
      </c>
    </row>
    <row r="74" spans="1:6" ht="19" x14ac:dyDescent="0.25">
      <c r="A74" s="5" t="s">
        <v>28</v>
      </c>
      <c r="B74" s="13" t="s">
        <v>92</v>
      </c>
      <c r="C74" s="13" t="s">
        <v>92</v>
      </c>
      <c r="D74" s="13" t="s">
        <v>92</v>
      </c>
      <c r="E74" s="13" t="s">
        <v>92</v>
      </c>
      <c r="F74" s="13" t="s">
        <v>92</v>
      </c>
    </row>
    <row r="75" spans="1:6" ht="21" x14ac:dyDescent="0.25">
      <c r="A75" s="4" t="s">
        <v>65</v>
      </c>
      <c r="B75" s="9" t="s">
        <v>90</v>
      </c>
      <c r="C75" s="9" t="s">
        <v>90</v>
      </c>
      <c r="D75" s="9" t="s">
        <v>90</v>
      </c>
      <c r="E75" s="9" t="s">
        <v>90</v>
      </c>
      <c r="F75" s="9" t="s">
        <v>90</v>
      </c>
    </row>
    <row r="76" spans="1:6" ht="19" x14ac:dyDescent="0.25">
      <c r="A76" s="5" t="s">
        <v>66</v>
      </c>
      <c r="B76" s="1">
        <v>-178028000</v>
      </c>
      <c r="C76" s="1">
        <v>-348535000</v>
      </c>
      <c r="D76" s="1">
        <v>-539102000</v>
      </c>
      <c r="E76" s="1">
        <v>-679948000</v>
      </c>
      <c r="F76" s="1">
        <v>-797526000</v>
      </c>
    </row>
    <row r="77" spans="1:6" ht="19" x14ac:dyDescent="0.25">
      <c r="A77" s="5" t="s">
        <v>13</v>
      </c>
      <c r="B77" s="1">
        <v>1362000</v>
      </c>
      <c r="C77" s="1">
        <v>3522000</v>
      </c>
      <c r="D77" s="1">
        <v>9826000</v>
      </c>
      <c r="E77" s="1">
        <v>21498000</v>
      </c>
      <c r="F77" s="1">
        <v>67032000</v>
      </c>
    </row>
    <row r="78" spans="1:6" ht="19" x14ac:dyDescent="0.25">
      <c r="A78" s="5" t="s">
        <v>67</v>
      </c>
      <c r="B78" s="1" t="s">
        <v>91</v>
      </c>
      <c r="C78" s="1" t="s">
        <v>91</v>
      </c>
      <c r="D78" s="1" t="s">
        <v>91</v>
      </c>
      <c r="E78" s="1" t="s">
        <v>91</v>
      </c>
      <c r="F78" s="1">
        <v>-26425000</v>
      </c>
    </row>
    <row r="79" spans="1:6" ht="19" x14ac:dyDescent="0.25">
      <c r="A79" s="5" t="s">
        <v>68</v>
      </c>
      <c r="B79" s="1">
        <v>22409000</v>
      </c>
      <c r="C79" s="1">
        <v>78399000</v>
      </c>
      <c r="D79" s="1">
        <v>301441000</v>
      </c>
      <c r="E79" s="1">
        <v>605095000</v>
      </c>
      <c r="F79" s="1">
        <v>861533000</v>
      </c>
    </row>
    <row r="80" spans="1:6" ht="19" x14ac:dyDescent="0.25">
      <c r="A80" s="14" t="s">
        <v>103</v>
      </c>
      <c r="B80" s="15">
        <f t="shared" ref="B80:F80" si="18">B79/B3</f>
        <v>0.23181884012993192</v>
      </c>
      <c r="C80" s="15">
        <f t="shared" si="18"/>
        <v>0.29612688292262829</v>
      </c>
      <c r="D80" s="15">
        <f t="shared" si="18"/>
        <v>0.50914873599989185</v>
      </c>
      <c r="E80" s="15">
        <f t="shared" si="18"/>
        <v>0.49625326102021855</v>
      </c>
      <c r="F80" s="15">
        <f t="shared" si="18"/>
        <v>0.41707416374145007</v>
      </c>
    </row>
    <row r="81" spans="1:14" ht="19" x14ac:dyDescent="0.25">
      <c r="A81" s="5" t="s">
        <v>69</v>
      </c>
      <c r="B81" s="1">
        <v>6219000</v>
      </c>
      <c r="C81" s="1">
        <v>49341000</v>
      </c>
      <c r="D81" s="1">
        <v>106892000</v>
      </c>
      <c r="E81" s="1">
        <v>68427000</v>
      </c>
      <c r="F81" s="1">
        <v>441025000</v>
      </c>
    </row>
    <row r="82" spans="1:14" ht="19" x14ac:dyDescent="0.25">
      <c r="A82" s="5" t="s">
        <v>70</v>
      </c>
      <c r="B82" s="1">
        <v>-51421000</v>
      </c>
      <c r="C82" s="1">
        <v>-116869000</v>
      </c>
      <c r="D82" s="1">
        <v>-116289000</v>
      </c>
      <c r="E82" s="1">
        <v>-251652000</v>
      </c>
      <c r="F82" s="1">
        <v>-166965000</v>
      </c>
    </row>
    <row r="83" spans="1:14" ht="19" x14ac:dyDescent="0.25">
      <c r="A83" s="5" t="s">
        <v>34</v>
      </c>
      <c r="B83" s="1" t="s">
        <v>91</v>
      </c>
      <c r="C83" s="1" t="s">
        <v>91</v>
      </c>
      <c r="D83" s="1" t="s">
        <v>91</v>
      </c>
      <c r="E83" s="1" t="s">
        <v>91</v>
      </c>
      <c r="F83" s="1" t="s">
        <v>91</v>
      </c>
    </row>
    <row r="84" spans="1:14" ht="19" customHeight="1" x14ac:dyDescent="0.25">
      <c r="A84" s="5" t="s">
        <v>47</v>
      </c>
      <c r="B84" s="1">
        <v>5170000</v>
      </c>
      <c r="C84" s="1">
        <v>1116000</v>
      </c>
      <c r="D84" s="1">
        <v>-2878000</v>
      </c>
      <c r="E84" s="1">
        <v>7371000</v>
      </c>
      <c r="F84" s="1">
        <v>8024000</v>
      </c>
      <c r="G84" s="44"/>
      <c r="H84" s="44"/>
      <c r="I84" s="44"/>
      <c r="J84" s="44"/>
      <c r="K84" s="44"/>
      <c r="L84" s="44"/>
      <c r="M84" s="73" t="s">
        <v>123</v>
      </c>
      <c r="N84" s="74"/>
    </row>
    <row r="85" spans="1:14" ht="20" customHeight="1" x14ac:dyDescent="0.25">
      <c r="A85" s="5" t="s">
        <v>71</v>
      </c>
      <c r="B85" s="1">
        <v>43287000</v>
      </c>
      <c r="C85" s="1">
        <v>154366000</v>
      </c>
      <c r="D85" s="1">
        <v>261437000</v>
      </c>
      <c r="E85" s="1">
        <v>430344000</v>
      </c>
      <c r="F85" s="1" t="s">
        <v>91</v>
      </c>
      <c r="G85" s="44"/>
      <c r="H85" s="44"/>
      <c r="I85" s="44"/>
      <c r="J85" s="44"/>
      <c r="K85" s="44"/>
      <c r="L85" s="44"/>
      <c r="M85" s="75" t="s">
        <v>124</v>
      </c>
      <c r="N85" s="75"/>
    </row>
    <row r="86" spans="1:14" ht="20" x14ac:dyDescent="0.25">
      <c r="A86" s="5" t="s">
        <v>72</v>
      </c>
      <c r="B86" s="1">
        <v>4056000</v>
      </c>
      <c r="C86" s="1">
        <v>40715000</v>
      </c>
      <c r="D86" s="1">
        <v>75526000</v>
      </c>
      <c r="E86" s="1">
        <v>95107000</v>
      </c>
      <c r="F86" s="1" t="s">
        <v>91</v>
      </c>
      <c r="G86" s="44"/>
      <c r="H86" s="44"/>
      <c r="I86" s="44"/>
      <c r="J86" s="44"/>
      <c r="K86" s="44"/>
      <c r="L86" s="44"/>
      <c r="M86" s="38" t="s">
        <v>125</v>
      </c>
      <c r="N86" s="45">
        <f>F17</f>
        <v>73839000</v>
      </c>
    </row>
    <row r="87" spans="1:14" ht="20" x14ac:dyDescent="0.25">
      <c r="A87" s="6" t="s">
        <v>73</v>
      </c>
      <c r="B87" s="10">
        <v>-143982000</v>
      </c>
      <c r="C87" s="10">
        <v>-176558000</v>
      </c>
      <c r="D87" s="10">
        <v>-45417000</v>
      </c>
      <c r="E87" s="10">
        <v>110179000</v>
      </c>
      <c r="F87" s="10">
        <v>545639000</v>
      </c>
      <c r="G87" s="44"/>
      <c r="H87" s="44"/>
      <c r="I87" s="44"/>
      <c r="J87" s="44"/>
      <c r="K87" s="44"/>
      <c r="L87" s="44"/>
      <c r="M87" s="38" t="s">
        <v>126</v>
      </c>
      <c r="N87" s="45">
        <f>F56</f>
        <v>27301000</v>
      </c>
    </row>
    <row r="88" spans="1:14" ht="20" x14ac:dyDescent="0.25">
      <c r="A88" s="5" t="s">
        <v>74</v>
      </c>
      <c r="B88" s="1">
        <v>-4016000</v>
      </c>
      <c r="C88" s="1">
        <v>-22848000</v>
      </c>
      <c r="D88" s="1">
        <v>-35037000</v>
      </c>
      <c r="E88" s="1">
        <v>-16221000</v>
      </c>
      <c r="F88" s="1">
        <v>-25128000</v>
      </c>
      <c r="G88" s="44"/>
      <c r="H88" s="44"/>
      <c r="I88" s="44"/>
      <c r="J88" s="44"/>
      <c r="K88" s="44"/>
      <c r="L88" s="44"/>
      <c r="M88" s="38" t="s">
        <v>127</v>
      </c>
      <c r="N88" s="45">
        <f>F61</f>
        <v>224357000</v>
      </c>
    </row>
    <row r="89" spans="1:14" ht="20" customHeight="1" x14ac:dyDescent="0.25">
      <c r="A89" s="14" t="s">
        <v>104</v>
      </c>
      <c r="B89" s="15">
        <f t="shared" ref="B89:F89" si="19">(-1*B88)/B3</f>
        <v>4.1545114104235205E-2</v>
      </c>
      <c r="C89" s="15">
        <f t="shared" si="19"/>
        <v>8.6300935228972461E-2</v>
      </c>
      <c r="D89" s="15">
        <f t="shared" si="19"/>
        <v>5.9179223341311274E-2</v>
      </c>
      <c r="E89" s="15">
        <f t="shared" si="19"/>
        <v>1.3303240230061337E-2</v>
      </c>
      <c r="F89" s="15">
        <f t="shared" si="19"/>
        <v>1.2164640920887716E-2</v>
      </c>
      <c r="G89" s="44"/>
      <c r="H89" s="44"/>
      <c r="I89" s="44"/>
      <c r="J89" s="44"/>
      <c r="K89" s="44"/>
      <c r="L89" s="44"/>
      <c r="M89" s="39" t="s">
        <v>128</v>
      </c>
      <c r="N89" s="46">
        <f>N86/(N87+N88)</f>
        <v>0.29341010418901842</v>
      </c>
    </row>
    <row r="90" spans="1:14" ht="20" x14ac:dyDescent="0.25">
      <c r="A90" s="5" t="s">
        <v>75</v>
      </c>
      <c r="B90" s="1" t="s">
        <v>91</v>
      </c>
      <c r="C90" s="1" t="s">
        <v>91</v>
      </c>
      <c r="D90" s="1">
        <v>-6035000</v>
      </c>
      <c r="E90" s="1" t="s">
        <v>91</v>
      </c>
      <c r="F90" s="1">
        <v>-362609000</v>
      </c>
      <c r="G90" s="44"/>
      <c r="H90" s="44"/>
      <c r="I90" s="44"/>
      <c r="J90" s="44"/>
      <c r="K90" s="44"/>
      <c r="L90" s="44"/>
      <c r="M90" s="38" t="s">
        <v>105</v>
      </c>
      <c r="N90" s="45">
        <f>F27</f>
        <v>18467000</v>
      </c>
    </row>
    <row r="91" spans="1:14" ht="20" x14ac:dyDescent="0.25">
      <c r="A91" s="5" t="s">
        <v>76</v>
      </c>
      <c r="B91" s="1">
        <v>-738383000</v>
      </c>
      <c r="C91" s="1">
        <v>-622854000</v>
      </c>
      <c r="D91" s="1">
        <v>-4859852000</v>
      </c>
      <c r="E91" s="1">
        <v>-4250338000</v>
      </c>
      <c r="F91" s="1">
        <v>-3854886000</v>
      </c>
      <c r="G91" s="44"/>
      <c r="H91" s="44"/>
      <c r="I91" s="44"/>
      <c r="J91" s="44"/>
      <c r="K91" s="44"/>
      <c r="L91" s="44"/>
      <c r="M91" s="38" t="s">
        <v>19</v>
      </c>
      <c r="N91" s="45">
        <f>F25</f>
        <v>-815993000</v>
      </c>
    </row>
    <row r="92" spans="1:14" ht="20" x14ac:dyDescent="0.25">
      <c r="A92" s="5" t="s">
        <v>77</v>
      </c>
      <c r="B92" s="1">
        <v>379757000</v>
      </c>
      <c r="C92" s="1">
        <v>790511000</v>
      </c>
      <c r="D92" s="1">
        <v>877946000</v>
      </c>
      <c r="E92" s="1">
        <v>4282865000</v>
      </c>
      <c r="F92" s="1">
        <v>3715885000</v>
      </c>
      <c r="G92" s="44"/>
      <c r="H92" s="44"/>
      <c r="I92" s="44"/>
      <c r="J92" s="44"/>
      <c r="K92" s="44"/>
      <c r="L92" s="44"/>
      <c r="M92" s="39" t="s">
        <v>129</v>
      </c>
      <c r="N92" s="46">
        <f>N90/N91</f>
        <v>-2.263132159221954E-2</v>
      </c>
    </row>
    <row r="93" spans="1:14" ht="19" customHeight="1" x14ac:dyDescent="0.25">
      <c r="A93" s="5" t="s">
        <v>78</v>
      </c>
      <c r="B93" s="1" t="s">
        <v>91</v>
      </c>
      <c r="C93" s="1">
        <v>-6314000</v>
      </c>
      <c r="D93" s="1">
        <v>-13667000</v>
      </c>
      <c r="E93" s="1">
        <v>-37106000</v>
      </c>
      <c r="F93" s="1">
        <v>-71147000</v>
      </c>
      <c r="G93" s="44"/>
      <c r="H93" s="44"/>
      <c r="I93" s="44"/>
      <c r="J93" s="44"/>
      <c r="K93" s="44"/>
      <c r="L93" s="44"/>
      <c r="M93" s="39" t="s">
        <v>130</v>
      </c>
      <c r="N93" s="46">
        <f>N89*(1-N92)</f>
        <v>0.30005036261532675</v>
      </c>
    </row>
    <row r="94" spans="1:14" ht="21" customHeight="1" x14ac:dyDescent="0.25">
      <c r="A94" s="6" t="s">
        <v>79</v>
      </c>
      <c r="B94" s="10">
        <v>-362642000</v>
      </c>
      <c r="C94" s="10">
        <v>138495000</v>
      </c>
      <c r="D94" s="10">
        <v>-4036645000</v>
      </c>
      <c r="E94" s="10">
        <v>-20800000</v>
      </c>
      <c r="F94" s="10">
        <v>-597885000</v>
      </c>
      <c r="G94" s="44"/>
      <c r="H94" s="44"/>
      <c r="I94" s="44"/>
      <c r="J94" s="44"/>
      <c r="K94" s="44"/>
      <c r="L94" s="44"/>
      <c r="M94" s="75" t="s">
        <v>131</v>
      </c>
      <c r="N94" s="75"/>
    </row>
    <row r="95" spans="1:14" ht="20" x14ac:dyDescent="0.25">
      <c r="A95" s="5" t="s">
        <v>80</v>
      </c>
      <c r="B95" s="1" t="s">
        <v>91</v>
      </c>
      <c r="C95" s="1" t="s">
        <v>91</v>
      </c>
      <c r="D95" s="1" t="s">
        <v>91</v>
      </c>
      <c r="E95" s="1" t="s">
        <v>91</v>
      </c>
      <c r="F95" s="1" t="s">
        <v>91</v>
      </c>
      <c r="G95" s="44"/>
      <c r="H95" s="44"/>
      <c r="I95" s="44"/>
      <c r="J95" s="44"/>
      <c r="K95" s="44"/>
      <c r="L95" s="44"/>
      <c r="M95" s="38" t="s">
        <v>132</v>
      </c>
      <c r="N95" s="69">
        <f>'[1]US Treasury Bonds'!$C$8</f>
        <v>4.845E-2</v>
      </c>
    </row>
    <row r="96" spans="1:14" ht="20" x14ac:dyDescent="0.25">
      <c r="A96" s="5" t="s">
        <v>81</v>
      </c>
      <c r="B96" s="1" t="s">
        <v>91</v>
      </c>
      <c r="C96" s="1" t="s">
        <v>91</v>
      </c>
      <c r="D96" s="1">
        <v>4242284000</v>
      </c>
      <c r="E96" s="1" t="s">
        <v>91</v>
      </c>
      <c r="F96" s="1" t="s">
        <v>91</v>
      </c>
      <c r="G96" s="44"/>
      <c r="H96" s="44"/>
      <c r="I96" s="44"/>
      <c r="J96" s="44"/>
      <c r="K96" s="44"/>
      <c r="L96" s="44"/>
      <c r="M96" s="38" t="s">
        <v>133</v>
      </c>
      <c r="N96" s="48" cm="1">
        <f t="array" ref="N96">_FV(A1,"Beta")</f>
        <v>1.627</v>
      </c>
    </row>
    <row r="97" spans="1:14" ht="20" x14ac:dyDescent="0.25">
      <c r="A97" s="5" t="s">
        <v>82</v>
      </c>
      <c r="B97" s="1">
        <v>-29644000</v>
      </c>
      <c r="C97" s="1" t="s">
        <v>91</v>
      </c>
      <c r="D97" s="1" t="s">
        <v>91</v>
      </c>
      <c r="E97" s="1" t="s">
        <v>91</v>
      </c>
      <c r="F97" s="1" t="s">
        <v>91</v>
      </c>
      <c r="G97" s="44"/>
      <c r="H97" s="44"/>
      <c r="I97" s="44"/>
      <c r="J97" s="44"/>
      <c r="K97" s="44"/>
      <c r="L97" s="44"/>
      <c r="M97" s="38" t="s">
        <v>134</v>
      </c>
      <c r="N97" s="47">
        <v>8.4000000000000005E-2</v>
      </c>
    </row>
    <row r="98" spans="1:14" ht="19" customHeight="1" x14ac:dyDescent="0.25">
      <c r="A98" s="5" t="s">
        <v>83</v>
      </c>
      <c r="B98" s="1" t="s">
        <v>91</v>
      </c>
      <c r="C98" s="1" t="s">
        <v>91</v>
      </c>
      <c r="D98" s="1" t="s">
        <v>91</v>
      </c>
      <c r="E98" s="1" t="s">
        <v>91</v>
      </c>
      <c r="F98" s="1">
        <v>0</v>
      </c>
      <c r="G98" s="44"/>
      <c r="H98" s="44"/>
      <c r="I98" s="44"/>
      <c r="J98" s="44"/>
      <c r="K98" s="44"/>
      <c r="L98" s="44"/>
      <c r="M98" s="39" t="s">
        <v>135</v>
      </c>
      <c r="N98" s="46">
        <f>(N95)+((N96)*(N97-N95))</f>
        <v>0.10628985000000001</v>
      </c>
    </row>
    <row r="99" spans="1:14" ht="21" customHeight="1" x14ac:dyDescent="0.25">
      <c r="A99" s="5" t="s">
        <v>84</v>
      </c>
      <c r="B99" s="1">
        <v>443245000</v>
      </c>
      <c r="C99" s="1">
        <v>57469000</v>
      </c>
      <c r="D99" s="1">
        <v>533006000</v>
      </c>
      <c r="E99" s="1">
        <v>178198000</v>
      </c>
      <c r="F99" s="1">
        <v>-92624000</v>
      </c>
      <c r="G99" s="44"/>
      <c r="H99" s="44"/>
      <c r="I99" s="44"/>
      <c r="J99" s="44"/>
      <c r="K99" s="44"/>
      <c r="L99" s="44"/>
      <c r="M99" s="75" t="s">
        <v>136</v>
      </c>
      <c r="N99" s="75"/>
    </row>
    <row r="100" spans="1:14" ht="20" x14ac:dyDescent="0.25">
      <c r="A100" s="6" t="s">
        <v>85</v>
      </c>
      <c r="B100" s="10">
        <v>413601000</v>
      </c>
      <c r="C100" s="10">
        <v>57469000</v>
      </c>
      <c r="D100" s="10">
        <v>4775290000</v>
      </c>
      <c r="E100" s="10">
        <v>178198000</v>
      </c>
      <c r="F100" s="10">
        <v>-92624000</v>
      </c>
      <c r="G100" s="44"/>
      <c r="H100" s="44"/>
      <c r="I100" s="44"/>
      <c r="J100" s="44"/>
      <c r="K100" s="44"/>
      <c r="L100" s="44"/>
      <c r="M100" s="38" t="s">
        <v>137</v>
      </c>
      <c r="N100" s="45">
        <f>N87+N88</f>
        <v>251658000</v>
      </c>
    </row>
    <row r="101" spans="1:14" ht="20" x14ac:dyDescent="0.25">
      <c r="A101" s="5" t="s">
        <v>86</v>
      </c>
      <c r="B101" s="1" t="s">
        <v>91</v>
      </c>
      <c r="C101" s="1" t="s">
        <v>91</v>
      </c>
      <c r="D101" s="1">
        <v>-11000</v>
      </c>
      <c r="E101" s="1">
        <v>-236000</v>
      </c>
      <c r="F101" s="1">
        <v>-933000</v>
      </c>
      <c r="G101" s="44"/>
      <c r="H101" s="44"/>
      <c r="I101" s="44"/>
      <c r="J101" s="44"/>
      <c r="K101" s="44"/>
      <c r="L101" s="44"/>
      <c r="M101" s="39" t="s">
        <v>138</v>
      </c>
      <c r="N101" s="46">
        <f>N100/N104</f>
        <v>5.2953822452161481E-3</v>
      </c>
    </row>
    <row r="102" spans="1:14" ht="20" x14ac:dyDescent="0.25">
      <c r="A102" s="6" t="s">
        <v>87</v>
      </c>
      <c r="B102" s="10">
        <v>-93023000</v>
      </c>
      <c r="C102" s="10">
        <v>19406000</v>
      </c>
      <c r="D102" s="10">
        <v>693217000</v>
      </c>
      <c r="E102" s="10">
        <v>267341000</v>
      </c>
      <c r="F102" s="10">
        <v>-145803000</v>
      </c>
      <c r="G102" s="44"/>
      <c r="H102" s="44"/>
      <c r="I102" s="44"/>
      <c r="J102" s="44"/>
      <c r="K102" s="44"/>
      <c r="L102" s="44"/>
      <c r="M102" s="38" t="s">
        <v>139</v>
      </c>
      <c r="N102" s="49" cm="1">
        <f t="array" ref="N102">_FV(A1,"Market cap",TRUE)</f>
        <v>47272390000</v>
      </c>
    </row>
    <row r="103" spans="1:14" ht="20" x14ac:dyDescent="0.25">
      <c r="A103" s="5" t="s">
        <v>88</v>
      </c>
      <c r="B103" s="1">
        <v>215593000</v>
      </c>
      <c r="C103" s="1">
        <v>122570000</v>
      </c>
      <c r="D103" s="1">
        <v>141976000</v>
      </c>
      <c r="E103" s="1">
        <v>835193000</v>
      </c>
      <c r="F103" s="1">
        <v>1102534000</v>
      </c>
      <c r="G103" s="44"/>
      <c r="H103" s="44"/>
      <c r="I103" s="44"/>
      <c r="J103" s="44"/>
      <c r="K103" s="44"/>
      <c r="L103" s="44"/>
      <c r="M103" s="39" t="s">
        <v>140</v>
      </c>
      <c r="N103" s="46">
        <f>N102/N104</f>
        <v>0.9947046177547838</v>
      </c>
    </row>
    <row r="104" spans="1:14" ht="20" customHeight="1" thickBot="1" x14ac:dyDescent="0.3">
      <c r="A104" s="7" t="s">
        <v>89</v>
      </c>
      <c r="B104" s="11">
        <v>122570000</v>
      </c>
      <c r="C104" s="11">
        <v>141976000</v>
      </c>
      <c r="D104" s="11">
        <v>835193000</v>
      </c>
      <c r="E104" s="11">
        <v>1102534000</v>
      </c>
      <c r="F104" s="11">
        <v>956731000</v>
      </c>
      <c r="G104" s="77" t="s">
        <v>114</v>
      </c>
      <c r="H104" s="77"/>
      <c r="I104" s="77"/>
      <c r="J104" s="77"/>
      <c r="K104" s="77"/>
      <c r="L104" s="44"/>
      <c r="M104" s="39" t="s">
        <v>141</v>
      </c>
      <c r="N104" s="50">
        <f>N100+N102</f>
        <v>47524048000</v>
      </c>
    </row>
    <row r="105" spans="1:14" ht="21" customHeight="1" thickTop="1" x14ac:dyDescent="0.25">
      <c r="A105" s="14" t="s">
        <v>159</v>
      </c>
      <c r="B105" s="1">
        <f t="shared" ref="B105:E105" si="20">(B22*(1-0.2))+B77+B88+B81</f>
        <v>-144807000</v>
      </c>
      <c r="C105" s="1">
        <f t="shared" si="20"/>
        <v>-256455400</v>
      </c>
      <c r="D105" s="1">
        <f t="shared" si="20"/>
        <v>-353468600</v>
      </c>
      <c r="E105" s="1">
        <f t="shared" si="20"/>
        <v>-498324800</v>
      </c>
      <c r="F105" s="1">
        <f>(F22*(1-0.2))+F77+F88+F81</f>
        <v>-190884600</v>
      </c>
      <c r="G105" s="70">
        <f>G107/G3</f>
        <v>0.19781818181818181</v>
      </c>
      <c r="H105" s="70">
        <f>H107/H3</f>
        <v>0.20881863560732114</v>
      </c>
      <c r="I105" s="70">
        <f>I107/I3</f>
        <v>0.23153020416754366</v>
      </c>
      <c r="J105" s="70">
        <f>J107/J3</f>
        <v>0.28529906685023709</v>
      </c>
      <c r="K105" s="70">
        <f>K107/K3</f>
        <v>0.32342268523937728</v>
      </c>
      <c r="L105" s="71" t="s">
        <v>164</v>
      </c>
      <c r="M105" s="75" t="s">
        <v>142</v>
      </c>
      <c r="N105" s="75"/>
    </row>
    <row r="106" spans="1:14" ht="20" x14ac:dyDescent="0.25">
      <c r="A106" s="14" t="s">
        <v>160</v>
      </c>
      <c r="B106" s="1"/>
      <c r="C106" s="15">
        <f t="shared" ref="C106:K106" si="21">(C107/B107)-1</f>
        <v>0.34735604535196418</v>
      </c>
      <c r="D106" s="15">
        <f t="shared" si="21"/>
        <v>-0.5279931396246853</v>
      </c>
      <c r="E106" s="15">
        <f t="shared" si="21"/>
        <v>-1.6040309813962876</v>
      </c>
      <c r="F106" s="15">
        <f t="shared" si="21"/>
        <v>7.7331844086399784</v>
      </c>
      <c r="G106" s="52">
        <f t="shared" si="21"/>
        <v>9.5671894606031538E-2</v>
      </c>
      <c r="H106" s="52">
        <f t="shared" si="21"/>
        <v>0.38419117647058831</v>
      </c>
      <c r="I106" s="52">
        <f t="shared" si="21"/>
        <v>0.46082337317397082</v>
      </c>
      <c r="J106" s="52">
        <f t="shared" si="21"/>
        <v>0.69545454545454555</v>
      </c>
      <c r="K106" s="52">
        <f t="shared" si="21"/>
        <v>0.48150134048257365</v>
      </c>
      <c r="L106" s="53">
        <f>SUM(G106:K106)/5</f>
        <v>0.42352846603754202</v>
      </c>
      <c r="M106" s="40" t="s">
        <v>106</v>
      </c>
      <c r="N106" s="54">
        <f>(N101*N93)+(N103*N98)</f>
        <v>0.10731588597832718</v>
      </c>
    </row>
    <row r="107" spans="1:14" ht="19" x14ac:dyDescent="0.25">
      <c r="A107" s="35" t="s">
        <v>161</v>
      </c>
      <c r="B107" s="1">
        <v>-147998000</v>
      </c>
      <c r="C107" s="1">
        <v>-199406000</v>
      </c>
      <c r="D107" s="1">
        <v>-94121000</v>
      </c>
      <c r="E107" s="1">
        <v>56852000</v>
      </c>
      <c r="F107" s="1">
        <v>496499000</v>
      </c>
      <c r="G107" s="55">
        <v>544000000</v>
      </c>
      <c r="H107" s="55">
        <v>753000000</v>
      </c>
      <c r="I107" s="55">
        <v>1100000000</v>
      </c>
      <c r="J107" s="55">
        <v>1865000000</v>
      </c>
      <c r="K107" s="55">
        <v>2763000000</v>
      </c>
      <c r="L107" s="51" t="s">
        <v>162</v>
      </c>
      <c r="M107" s="56" t="s">
        <v>143</v>
      </c>
      <c r="N107" s="41">
        <f>(SUM(G4:K4)/5)</f>
        <v>0.32857655995757373</v>
      </c>
    </row>
    <row r="108" spans="1:14" ht="19" x14ac:dyDescent="0.2">
      <c r="G108" s="72"/>
      <c r="H108" s="72"/>
      <c r="I108" s="72"/>
      <c r="J108" s="72"/>
      <c r="K108" s="57">
        <f>K107*(1+N108)/(N109-N108)</f>
        <v>34404962861.550835</v>
      </c>
      <c r="L108" s="58" t="s">
        <v>144</v>
      </c>
      <c r="M108" s="59" t="s">
        <v>145</v>
      </c>
      <c r="N108" s="42">
        <v>2.5000000000000001E-2</v>
      </c>
    </row>
    <row r="109" spans="1:14" ht="19" x14ac:dyDescent="0.2">
      <c r="G109" s="57">
        <f t="shared" ref="G109:J109" si="22">G108+G107</f>
        <v>544000000</v>
      </c>
      <c r="H109" s="57">
        <f t="shared" si="22"/>
        <v>753000000</v>
      </c>
      <c r="I109" s="57">
        <f t="shared" si="22"/>
        <v>1100000000</v>
      </c>
      <c r="J109" s="57">
        <f t="shared" si="22"/>
        <v>1865000000</v>
      </c>
      <c r="K109" s="57">
        <f>K108+K107</f>
        <v>37167962861.550835</v>
      </c>
      <c r="L109" s="58" t="s">
        <v>141</v>
      </c>
      <c r="M109" s="60" t="s">
        <v>146</v>
      </c>
      <c r="N109" s="41">
        <f>N106</f>
        <v>0.10731588597832718</v>
      </c>
    </row>
    <row r="110" spans="1:14" ht="19" x14ac:dyDescent="0.2">
      <c r="G110" s="76" t="s">
        <v>147</v>
      </c>
      <c r="H110" s="76"/>
      <c r="I110" s="44"/>
      <c r="J110" s="44"/>
      <c r="K110" s="44"/>
      <c r="L110" s="44"/>
      <c r="M110" s="44"/>
      <c r="N110" s="44"/>
    </row>
    <row r="111" spans="1:14" ht="20" x14ac:dyDescent="0.2">
      <c r="G111" s="61" t="s">
        <v>148</v>
      </c>
      <c r="H111" s="49">
        <f>NPV(N109,G109,H109,I109,J109,K109)</f>
        <v>25482067752.622871</v>
      </c>
      <c r="I111" s="44"/>
      <c r="J111" s="44"/>
      <c r="K111" s="44"/>
      <c r="L111" s="44"/>
      <c r="M111" s="44"/>
      <c r="N111" s="44"/>
    </row>
    <row r="112" spans="1:14" ht="20" x14ac:dyDescent="0.2">
      <c r="G112" s="61" t="s">
        <v>149</v>
      </c>
      <c r="H112" s="49">
        <f>F40</f>
        <v>4007868000</v>
      </c>
      <c r="I112" s="44"/>
      <c r="J112" s="44"/>
      <c r="K112" s="44"/>
      <c r="L112" s="44"/>
      <c r="M112" s="44"/>
      <c r="N112" s="44"/>
    </row>
    <row r="113" spans="7:14" ht="20" x14ac:dyDescent="0.2">
      <c r="G113" s="61" t="s">
        <v>137</v>
      </c>
      <c r="H113" s="49">
        <f>N100</f>
        <v>251658000</v>
      </c>
      <c r="I113" s="44"/>
      <c r="J113" s="44"/>
      <c r="K113" s="44"/>
      <c r="L113" s="44"/>
      <c r="M113" s="44"/>
      <c r="N113" s="44"/>
    </row>
    <row r="114" spans="7:14" ht="20" x14ac:dyDescent="0.2">
      <c r="G114" s="61" t="s">
        <v>150</v>
      </c>
      <c r="H114" s="49">
        <f>H111+H112-H113</f>
        <v>29238277752.622871</v>
      </c>
      <c r="I114" s="44"/>
      <c r="J114" s="44"/>
      <c r="K114" s="44"/>
      <c r="L114" s="44"/>
      <c r="M114" s="44"/>
      <c r="N114" s="44"/>
    </row>
    <row r="115" spans="7:14" ht="20" x14ac:dyDescent="0.2">
      <c r="G115" s="61" t="s">
        <v>167</v>
      </c>
      <c r="H115" s="61">
        <f>F34*(1+(5*G35))</f>
        <v>373580000</v>
      </c>
      <c r="I115" s="44"/>
      <c r="J115" s="44"/>
      <c r="K115" s="44"/>
      <c r="L115" s="44"/>
      <c r="M115" s="44"/>
      <c r="N115" s="44"/>
    </row>
    <row r="116" spans="7:14" ht="20" x14ac:dyDescent="0.2">
      <c r="G116" s="62" t="s">
        <v>151</v>
      </c>
      <c r="H116" s="63">
        <f>H114/H115</f>
        <v>78.265104536171293</v>
      </c>
      <c r="I116" s="44"/>
      <c r="J116" s="44"/>
      <c r="K116" s="44"/>
      <c r="L116" s="44"/>
      <c r="M116" s="44"/>
      <c r="N116" s="44"/>
    </row>
    <row r="117" spans="7:14" ht="20" x14ac:dyDescent="0.2">
      <c r="G117" s="61" t="s">
        <v>152</v>
      </c>
      <c r="H117" s="64" cm="1">
        <f t="array" ref="H117">_FV(A1,"Price")</f>
        <v>143.38</v>
      </c>
      <c r="I117" s="44"/>
      <c r="J117" s="44"/>
      <c r="K117" s="44"/>
      <c r="L117" s="44"/>
      <c r="M117" s="44"/>
      <c r="N117" s="44"/>
    </row>
    <row r="118" spans="7:14" ht="20" x14ac:dyDescent="0.2">
      <c r="G118" s="62" t="s">
        <v>153</v>
      </c>
      <c r="H118" s="65">
        <f>H116/H117-1</f>
        <v>-0.45414210813104128</v>
      </c>
      <c r="I118" s="44"/>
      <c r="J118" s="44"/>
      <c r="K118" s="44"/>
      <c r="L118" s="44"/>
      <c r="M118" s="44"/>
      <c r="N118" s="44"/>
    </row>
    <row r="119" spans="7:14" ht="20" x14ac:dyDescent="0.2">
      <c r="G119" s="62" t="s">
        <v>154</v>
      </c>
      <c r="H119" s="66" t="str">
        <f>IF(H116&gt;H117,"BUY","SELL")</f>
        <v>SELL</v>
      </c>
      <c r="I119" s="44"/>
      <c r="J119" s="44"/>
      <c r="K119" s="44"/>
      <c r="L119" s="44"/>
      <c r="M119" s="44"/>
      <c r="N119" s="44"/>
    </row>
  </sheetData>
  <mergeCells count="7">
    <mergeCell ref="M84:N84"/>
    <mergeCell ref="M85:N85"/>
    <mergeCell ref="G110:H110"/>
    <mergeCell ref="G104:K104"/>
    <mergeCell ref="M105:N105"/>
    <mergeCell ref="M99:N99"/>
    <mergeCell ref="M94:N94"/>
  </mergeCells>
  <hyperlinks>
    <hyperlink ref="A1" r:id="rId1" tooltip="https://roic.ai/company/SNOW" display="ROIC.AI | SNOW"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40147/000164014721000073/0001640147-21-000073-index.htm" xr:uid="{00000000-0004-0000-0000-000007000000}"/>
    <hyperlink ref="D74" r:id="rId7" tooltip="https://www.sec.gov/Archives/edgar/data/1640147/000164014721000073/0001640147-21-000073-index.htm" xr:uid="{00000000-0004-0000-0000-000008000000}"/>
    <hyperlink ref="E36" r:id="rId8" tooltip="https://www.sec.gov/Archives/edgar/data/1640147/000164014722000023/0001640147-22-000023-index.htm" xr:uid="{00000000-0004-0000-0000-00000A000000}"/>
    <hyperlink ref="E74" r:id="rId9" tooltip="https://www.sec.gov/Archives/edgar/data/1640147/000164014722000023/0001640147-22-000023-index.htm" xr:uid="{00000000-0004-0000-0000-00000B000000}"/>
    <hyperlink ref="F36" r:id="rId10" tooltip="https://sec.gov" xr:uid="{00000000-0004-0000-0000-00000D000000}"/>
    <hyperlink ref="F74" r:id="rId11" tooltip="https://sec.gov" xr:uid="{00000000-0004-0000-0000-00000E000000}"/>
    <hyperlink ref="G1" r:id="rId12" display="https://finbox.com/NYSE:SNOW/explorer/revenue_proj" xr:uid="{FA4426A0-FAF6-4642-9E9F-62F1F6F87EC2}"/>
    <hyperlink ref="L107" r:id="rId13" xr:uid="{62066282-E17A-134B-970B-FE2867700054}"/>
  </hyperlinks>
  <pageMargins left="0.7" right="0.7" top="0.75" bottom="0.75" header="0.3" footer="0.3"/>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2023-03-13T17:51:05Z</dcterms:created>
  <dcterms:modified xsi:type="dcterms:W3CDTF">2023-10-30T07:00:34Z</dcterms:modified>
</cp:coreProperties>
</file>