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56E4808-A89C-3A46-B18B-2847010E519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5" i="1" l="1"/>
  <c r="AL105" i="1"/>
  <c r="AK105" i="1"/>
  <c r="AJ105" i="1"/>
  <c r="AI105" i="1"/>
  <c r="AQ7" i="1"/>
  <c r="AN7" i="1"/>
  <c r="AI6" i="1"/>
  <c r="AI106" i="1" l="1"/>
  <c r="AM106" i="1"/>
  <c r="AL106" i="1"/>
  <c r="AK106" i="1"/>
  <c r="AJ106" i="1"/>
  <c r="AM30" i="1"/>
  <c r="AL30" i="1"/>
  <c r="AK30" i="1"/>
  <c r="AJ30" i="1"/>
  <c r="AI30" i="1"/>
  <c r="AP7" i="1" s="1"/>
  <c r="AM29" i="1"/>
  <c r="AL29" i="1"/>
  <c r="AK29" i="1"/>
  <c r="AJ29" i="1"/>
  <c r="AI29" i="1"/>
  <c r="AM21" i="1"/>
  <c r="AL21" i="1"/>
  <c r="AK21" i="1"/>
  <c r="AJ21" i="1"/>
  <c r="AI21" i="1"/>
  <c r="AO7" i="1" s="1"/>
  <c r="AM20" i="1"/>
  <c r="AL20" i="1"/>
  <c r="AK20" i="1"/>
  <c r="AJ20" i="1"/>
  <c r="AI20" i="1"/>
  <c r="AO22" i="1" l="1"/>
  <c r="AN106" i="1"/>
  <c r="AJ117" i="1" a="1"/>
  <c r="AJ117" i="1" s="1"/>
  <c r="AP102" i="1" a="1"/>
  <c r="AP102" i="1" s="1"/>
  <c r="AP96" i="1" a="1"/>
  <c r="AP96" i="1" s="1"/>
  <c r="AI109" i="1"/>
  <c r="AJ112" i="1"/>
  <c r="AP91" i="1"/>
  <c r="AP90" i="1"/>
  <c r="AP88" i="1"/>
  <c r="AP87" i="1"/>
  <c r="AP86" i="1"/>
  <c r="AP89" i="1" s="1"/>
  <c r="AN19" i="1"/>
  <c r="AQ13" i="1"/>
  <c r="AP13" i="1"/>
  <c r="AO13" i="1"/>
  <c r="AN13" i="1"/>
  <c r="AM4" i="1"/>
  <c r="AL4" i="1"/>
  <c r="AK4" i="1"/>
  <c r="AJ4" i="1"/>
  <c r="AI4"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P10" i="1" s="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O10" i="1" s="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N10" i="1" s="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92" i="1" l="1"/>
  <c r="AO4" i="1"/>
  <c r="AP4" i="1"/>
  <c r="AN4" i="1"/>
  <c r="AN16" i="1"/>
  <c r="AQ19" i="1"/>
  <c r="AQ22" i="1"/>
  <c r="AP93" i="1"/>
  <c r="I105" i="1"/>
  <c r="Q105" i="1"/>
  <c r="Y105" i="1"/>
  <c r="AG105" i="1"/>
  <c r="M105" i="1"/>
  <c r="F105" i="1"/>
  <c r="AD105" i="1"/>
  <c r="G105" i="1"/>
  <c r="W105" i="1"/>
  <c r="H105" i="1"/>
  <c r="AF105" i="1"/>
  <c r="B105" i="1"/>
  <c r="J105" i="1"/>
  <c r="R105" i="1"/>
  <c r="Z105" i="1"/>
  <c r="AH105" i="1"/>
  <c r="E105" i="1"/>
  <c r="U105" i="1"/>
  <c r="N105" i="1"/>
  <c r="V105" i="1"/>
  <c r="O105" i="1"/>
  <c r="AE105" i="1"/>
  <c r="P105" i="1"/>
  <c r="C105" i="1"/>
  <c r="K105" i="1"/>
  <c r="S105" i="1"/>
  <c r="AA105" i="1"/>
  <c r="AC105" i="1"/>
  <c r="D105" i="1"/>
  <c r="L105" i="1"/>
  <c r="T105" i="1"/>
  <c r="AB105" i="1"/>
  <c r="X105" i="1"/>
  <c r="AQ4" i="1"/>
  <c r="AP100" i="1"/>
  <c r="AO19" i="1"/>
  <c r="AP19" i="1"/>
  <c r="AP22" i="1"/>
  <c r="AQ16" i="1"/>
  <c r="AO16" i="1"/>
  <c r="AP16" i="1"/>
  <c r="AP107" i="1"/>
  <c r="AJ109" i="1"/>
  <c r="AJ113" i="1"/>
  <c r="AP104" i="1"/>
  <c r="AP103" i="1" s="1"/>
  <c r="AJ115" i="1" l="1"/>
  <c r="AP101" i="1"/>
  <c r="AK109" i="1"/>
  <c r="AL109" i="1" l="1"/>
  <c r="AP95" i="1" l="1"/>
  <c r="AP98" i="1" s="1"/>
  <c r="AP106" i="1" s="1"/>
  <c r="AP109" i="1" s="1"/>
  <c r="AM108" i="1" s="1"/>
  <c r="AM109" i="1" s="1"/>
  <c r="AJ111" i="1" s="1"/>
  <c r="AJ114" i="1" s="1"/>
  <c r="AJ116" i="1" s="1"/>
  <c r="AJ119" i="1" l="1"/>
  <c r="A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<sst xmlns="http://schemas.openxmlformats.org/spreadsheetml/2006/main" count="1083" uniqueCount="168">
  <si>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</si>
  <si>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</si>
  <si>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</si>
  <si>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</si>
  <si>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</si>
  <si>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</si>
  <si>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</si>
  <si>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</si>
  <si>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</si>
  <si>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</si>
  <si>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</si>
  <si>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</si>
  <si>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</si>
  <si>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</si>
  <si>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</si>
  <si>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</si>
  <si>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</si>
  <si>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</si>
  <si>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</si>
  <si>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</si>
  <si>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</si>
  <si>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</si>
  <si>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</si>
  <si>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</si>
  <si>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</si>
  <si>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</si>
  <si>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</si>
  <si>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</si>
  <si>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</si>
  <si>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</si>
  <si>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</si>
  <si>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</si>
  <si>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</si>
  <si>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</si>
  <si>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</si>
  <si>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</si>
  <si>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</si>
  <si>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</si>
  <si>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</si>
  <si>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</si>
  <si>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</si>
  <si>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</si>
  <si>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</si>
  <si>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</si>
  <si>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</si>
  <si>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</si>
  <si>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</si>
  <si>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</si>
  <si>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</si>
  <si>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</si>
  <si>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</si>
  <si>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</si>
  <si>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</si>
  <si>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</si>
  <si>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</si>
  <si>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</si>
  <si>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</si>
  <si>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</si>
  <si>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</si>
  <si>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</si>
  <si>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</si>
  <si>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</si>
  <si>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</si>
  <si>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</si>
  <si>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</si>
  <si>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</si>
  <si>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</si>
  <si>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</si>
  <si>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</si>
  <si>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</si>
  <si>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</si>
  <si>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</si>
  <si>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</si>
  <si>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</si>
  <si>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</si>
  <si>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</si>
  <si>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</si>
  <si>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</si>
  <si>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</si>
  <si>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</si>
  <si>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</si>
  <si>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</si>
  <si>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</si>
  <si>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</si>
  <si>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</si>
  <si>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</si>
  <si>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</si>
  <si>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</si>
  <si>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</si>
  <si>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</si>
  <si>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</si>
  <si>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</si>
  <si>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</si>
  <si>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</si>
  <si>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</si>
  <si>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</si>
  <si>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</si>
  <si>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</si>
  <si>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</si>
  <si>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</si>
  <si>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</si>
  <si>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</si>
  <si>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</si>
  <si>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</si>
  <si>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</si>
  <si>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</si>
  <si>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</si>
  <si>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</si>
  <si>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</si>
  <si>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</si>
  <si>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</si>
  <si>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</si>
  <si>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</si>
  <si>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</si>
  <si>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</si>
  <si>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</si>
  <si>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</si>
  <si>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</si>
  <si>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</si>
  <si>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</si>
  <si>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</si>
  <si>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</si>
  <si>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</si>
  <si>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</si>
  <si>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</si>
  <si>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</si>
  <si>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</si>
  <si>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</si>
  <si>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</si>
  <si>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</si>
  <si>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</si>
  <si>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</si>
  <si>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</si>
  <si>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</si>
  <si>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</si>
  <si>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</si>
  <si>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</si>
  <si>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</si>
  <si>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</si>
  <si>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</si>
  <si>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</si>
  <si>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</si>
  <si>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</si>
  <si>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</si>
  <si>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</si>
  <si>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</si>
  <si>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</si>
  <si>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</si>
  <si>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</si>
  <si>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</si>
  <si>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</si>
  <si>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</si>
  <si>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</si>
  <si>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</si>
  <si>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</si>
  <si>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</si>
  <si>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</si>
  <si>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</si>
  <si>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</si>
  <si>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</si>
  <si>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 Growth YoY</t>
  </si>
  <si>
    <t>Levered FCF</t>
  </si>
  <si>
    <t>Unlevered FCF Forecast</t>
  </si>
  <si>
    <t>5Y Fwd Revenue CAGR</t>
  </si>
  <si>
    <t>5Y Fwd FCF CAGR</t>
  </si>
  <si>
    <t>Forward FCF Yield</t>
  </si>
  <si>
    <t>Gross Margin</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</si>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</sst>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9" fontId="16" fillId="8" borderId="0" xfId="0" applyNumberFormat="1" applyFont="1" applyFill="1" applyAlignment="1">
      <alignment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7" fillId="3" borderId="6" xfId="0" applyFont="1" applyFill="1" applyBorder="1" applyAlignment="1">
      <alignment horizontal="center" vertical="center" wrapText="1"/>
    </xf>
    <xf numFmtId="165" fontId="10" fillId="8" borderId="0" xfId="0" applyNumberFormat="1" applyFont="1" applyFill="1" applyAlignment="1">
      <alignment vertical="center"/>
    </xf>
    <xf numFmtId="0" fontId="0" fillId="8" borderId="0" xfId="0"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8" borderId="0" xfId="0" applyFill="1" applyAlignment="1">
      <alignment vertical="center"/>
    </xf>
    <xf numFmtId="0" fontId="0" fillId="7" borderId="0" xfId="0"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8"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Synopsys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19759129952116E-2"/>
          <c:y val="0.14881019830028328"/>
          <c:w val="0.85964773532333583"/>
          <c:h val="0.6220956481006446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1'!$B$3:$AM$3</c:f>
              <c:numCache>
                <c:formatCode>#,###,,;\(#,###,,\);\ \-\ \-</c:formatCode>
                <c:ptCount val="38"/>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pt idx="33">
                  <c:v>5826000000</c:v>
                </c:pt>
                <c:pt idx="34">
                  <c:v>6560000000</c:v>
                </c:pt>
                <c:pt idx="35">
                  <c:v>7375000000</c:v>
                </c:pt>
                <c:pt idx="36">
                  <c:v>8428000000</c:v>
                </c:pt>
                <c:pt idx="37">
                  <c:v>9388000000</c:v>
                </c:pt>
              </c:numCache>
            </c:numRef>
          </c:val>
          <c:extLst>
            <c:ext xmlns:c16="http://schemas.microsoft.com/office/drawing/2014/chart" uri="{C3380CC4-5D6E-409C-BE32-E72D297353CC}">
              <c16:uniqueId val="{00000000-8D54-D74F-9494-FA8D43040F6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1'!$B$28:$AM$28</c:f>
              <c:numCache>
                <c:formatCode>#,###,,;\(#,###,,\);\ \-\ \-</c:formatCode>
                <c:ptCount val="38"/>
                <c:pt idx="0">
                  <c:v>4000000</c:v>
                </c:pt>
                <c:pt idx="1">
                  <c:v>3500000</c:v>
                </c:pt>
                <c:pt idx="2">
                  <c:v>7100000</c:v>
                </c:pt>
                <c:pt idx="3">
                  <c:v>13200000</c:v>
                </c:pt>
                <c:pt idx="4">
                  <c:v>15800000</c:v>
                </c:pt>
                <c:pt idx="5">
                  <c:v>30300000</c:v>
                </c:pt>
                <c:pt idx="6">
                  <c:v>23700000</c:v>
                </c:pt>
                <c:pt idx="7">
                  <c:v>72400000</c:v>
                </c:pt>
                <c:pt idx="8">
                  <c:v>91700000</c:v>
                </c:pt>
                <c:pt idx="9">
                  <c:v>161400000</c:v>
                </c:pt>
                <c:pt idx="10">
                  <c:v>97778000</c:v>
                </c:pt>
                <c:pt idx="11">
                  <c:v>56802000</c:v>
                </c:pt>
                <c:pt idx="12">
                  <c:v>-199993000</c:v>
                </c:pt>
                <c:pt idx="13">
                  <c:v>149724000</c:v>
                </c:pt>
                <c:pt idx="14">
                  <c:v>74337000</c:v>
                </c:pt>
                <c:pt idx="15">
                  <c:v>-15478000</c:v>
                </c:pt>
                <c:pt idx="16">
                  <c:v>24742000</c:v>
                </c:pt>
                <c:pt idx="17">
                  <c:v>130491000</c:v>
                </c:pt>
                <c:pt idx="18">
                  <c:v>189978000</c:v>
                </c:pt>
                <c:pt idx="19">
                  <c:v>167681000</c:v>
                </c:pt>
                <c:pt idx="20">
                  <c:v>237063000</c:v>
                </c:pt>
                <c:pt idx="21">
                  <c:v>221364000</c:v>
                </c:pt>
                <c:pt idx="22">
                  <c:v>182402000</c:v>
                </c:pt>
                <c:pt idx="23">
                  <c:v>247800000</c:v>
                </c:pt>
                <c:pt idx="24">
                  <c:v>259124000</c:v>
                </c:pt>
                <c:pt idx="25">
                  <c:v>225934000</c:v>
                </c:pt>
                <c:pt idx="26">
                  <c:v>266826000</c:v>
                </c:pt>
                <c:pt idx="27">
                  <c:v>136563000</c:v>
                </c:pt>
                <c:pt idx="28">
                  <c:v>432518000</c:v>
                </c:pt>
                <c:pt idx="29">
                  <c:v>532367000</c:v>
                </c:pt>
                <c:pt idx="30">
                  <c:v>664347000</c:v>
                </c:pt>
                <c:pt idx="31">
                  <c:v>757516000</c:v>
                </c:pt>
                <c:pt idx="32">
                  <c:v>984594000</c:v>
                </c:pt>
                <c:pt idx="33">
                  <c:v>1721000000</c:v>
                </c:pt>
                <c:pt idx="34">
                  <c:v>1982000000</c:v>
                </c:pt>
                <c:pt idx="35">
                  <c:v>2299000000</c:v>
                </c:pt>
                <c:pt idx="36">
                  <c:v>2692000000</c:v>
                </c:pt>
                <c:pt idx="37">
                  <c:v>3109000000</c:v>
                </c:pt>
              </c:numCache>
            </c:numRef>
          </c:val>
          <c:extLst>
            <c:ext xmlns:c16="http://schemas.microsoft.com/office/drawing/2014/chart" uri="{C3380CC4-5D6E-409C-BE32-E72D297353CC}">
              <c16:uniqueId val="{00000001-8D54-D74F-9494-FA8D43040F6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1'!$B$107:$AM$107</c:f>
              <c:numCache>
                <c:formatCode>#,###,,;\(#,###,,\);\ \-\ \-</c:formatCode>
                <c:ptCount val="38"/>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pt idx="33">
                  <c:v>1839000000</c:v>
                </c:pt>
                <c:pt idx="34">
                  <c:v>2119000000</c:v>
                </c:pt>
                <c:pt idx="35">
                  <c:v>2486000000</c:v>
                </c:pt>
                <c:pt idx="36">
                  <c:v>3160000000</c:v>
                </c:pt>
                <c:pt idx="37">
                  <c:v>3636000000</c:v>
                </c:pt>
              </c:numCache>
            </c:numRef>
          </c:val>
          <c:extLst>
            <c:ext xmlns:c16="http://schemas.microsoft.com/office/drawing/2014/chart" uri="{C3380CC4-5D6E-409C-BE32-E72D297353CC}">
              <c16:uniqueId val="{00000002-8D54-D74F-9494-FA8D43040F60}"/>
            </c:ext>
          </c:extLst>
        </c:ser>
        <c:dLbls>
          <c:showLegendKey val="0"/>
          <c:showVal val="0"/>
          <c:showCatName val="0"/>
          <c:showSerName val="0"/>
          <c:showPercent val="0"/>
          <c:showBubbleSize val="0"/>
        </c:dLbls>
        <c:gapWidth val="150"/>
        <c:overlap val="100"/>
        <c:axId val="1703374303"/>
        <c:axId val="1703376031"/>
      </c:barChart>
      <c:catAx>
        <c:axId val="17033743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376031"/>
        <c:crosses val="autoZero"/>
        <c:auto val="1"/>
        <c:lblAlgn val="ctr"/>
        <c:lblOffset val="100"/>
        <c:noMultiLvlLbl val="0"/>
      </c:catAx>
      <c:valAx>
        <c:axId val="17033760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703374303"/>
        <c:crosses val="autoZero"/>
        <c:crossBetween val="between"/>
      </c:valAx>
      <c:spPr>
        <a:noFill/>
        <a:ln>
          <a:noFill/>
        </a:ln>
        <a:effectLst/>
      </c:spPr>
    </c:plotArea>
    <c:legend>
      <c:legendPos val="b"/>
      <c:layout>
        <c:manualLayout>
          <c:xMode val="edge"/>
          <c:yMode val="edge"/>
          <c:x val="0.3323006698871494"/>
          <c:y val="0.89623778408346289"/>
          <c:w val="0.31429983834802105"/>
          <c:h val="5.806941625214695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21167</xdr:colOff>
      <xdr:row>109</xdr:row>
      <xdr:rowOff>18345</xdr:rowOff>
    </xdr:from>
    <xdr:to>
      <xdr:col>42</xdr:col>
      <xdr:colOff>42334</xdr:colOff>
      <xdr:row>130</xdr:row>
      <xdr:rowOff>0</xdr:rowOff>
    </xdr:to>
    <xdr:graphicFrame macro="">
      <xdr:nvGraphicFramePr>
        <xdr:cNvPr id="2" name="Chart 1">
          <a:extLst>
            <a:ext uri="{FF2B5EF4-FFF2-40B4-BE49-F238E27FC236}">
              <a16:creationId xmlns:a16="http://schemas.microsoft.com/office/drawing/2014/main" id="{BE9532DB-441F-CC65-D7A2-16F57EE56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502.66</v>
    <v>269.88</v>
    <v>1.0832999999999999</v>
    <v>-1.72</v>
    <v>-3.7780000000000001E-3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460.59</v>
    <v>Software &amp; IT Services</v>
    <v>Stock</v>
    <v>45225.991722024999</v>
    <v>0</v>
    <v>448.91</v>
    <v>68976086652</v>
    <v>SYNOPSYS, INC.</v>
    <v>SYNOPSYS, INC.</v>
    <v>458.42</v>
    <v>69.632599999999996</v>
    <v>455.26</v>
    <v>453.54</v>
    <v>152083800</v>
    <v>SNPS</v>
    <v>SYNOPSYS, INC. (XNAS:SNPS)</v>
    <v>47</v>
    <v>774997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hyperlink" Target="https://finbox.com/NASDAQGS:SNPS/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70" Type="http://schemas.openxmlformats.org/officeDocument/2006/relationships/drawing" Target="../drawings/drawing1.xm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9"/>
  <sheetViews>
    <sheetView tabSelected="1" zoomScale="80" zoomScaleNormal="80" workbookViewId="0">
      <pane xSplit="1" ySplit="1" topLeftCell="AE101" activePane="bottomRight" state="frozen"/>
      <selection pane="topRight"/>
      <selection pane="bottomLeft"/>
      <selection pane="bottomRight" activeCell="AJ83" sqref="AJ83"/>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3">
        <v>2023</v>
      </c>
      <c r="AJ1" s="23">
        <v>2024</v>
      </c>
      <c r="AK1" s="23">
        <v>2025</v>
      </c>
      <c r="AL1" s="23">
        <v>2026</v>
      </c>
      <c r="AM1" s="2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4">
        <v>5826000000</v>
      </c>
      <c r="AJ3" s="24">
        <v>6560000000</v>
      </c>
      <c r="AK3" s="24">
        <v>7375000000</v>
      </c>
      <c r="AL3" s="24">
        <v>8428000000</v>
      </c>
      <c r="AM3" s="24">
        <v>9388000000</v>
      </c>
      <c r="AN3" s="18" t="s">
        <v>107</v>
      </c>
      <c r="AO3" s="19" t="s">
        <v>108</v>
      </c>
      <c r="AP3" s="19" t="s">
        <v>109</v>
      </c>
      <c r="AQ3" s="19" t="s">
        <v>110</v>
      </c>
    </row>
    <row r="4" spans="1:43" ht="19" x14ac:dyDescent="0.25">
      <c r="A4" s="14" t="s">
        <v>93</v>
      </c>
      <c r="B4" s="1"/>
      <c r="C4" s="43">
        <f>(C3/B3)-1</f>
        <v>0.83257918552036192</v>
      </c>
      <c r="D4" s="43">
        <f>(D3/C3)-1</f>
        <v>0.55555555555555558</v>
      </c>
      <c r="E4" s="43">
        <f>(E3/D3)-1</f>
        <v>0.71428571428571419</v>
      </c>
      <c r="F4" s="43">
        <f t="shared" ref="F4:AM4" si="0">(F3/E3)-1</f>
        <v>0.81481481481481488</v>
      </c>
      <c r="G4" s="43">
        <f t="shared" si="0"/>
        <v>0.35459183673469385</v>
      </c>
      <c r="H4" s="43">
        <f t="shared" si="0"/>
        <v>0.33145009416195848</v>
      </c>
      <c r="I4" s="43">
        <f t="shared" si="0"/>
        <v>0.4118811881188118</v>
      </c>
      <c r="J4" s="43">
        <f t="shared" si="0"/>
        <v>0.43838910038068524</v>
      </c>
      <c r="K4" s="43">
        <f t="shared" si="0"/>
        <v>0.12285833681571257</v>
      </c>
      <c r="L4" s="43">
        <f t="shared" si="0"/>
        <v>-2.7691353430095544E-2</v>
      </c>
      <c r="M4" s="43">
        <f t="shared" si="0"/>
        <v>-0.13196083584892659</v>
      </c>
      <c r="N4" s="43">
        <f t="shared" si="0"/>
        <v>0.3324524141985743</v>
      </c>
      <c r="O4" s="43">
        <f t="shared" si="0"/>
        <v>0.29833299137153158</v>
      </c>
      <c r="P4" s="43">
        <f t="shared" si="0"/>
        <v>-7.2115739989447647E-2</v>
      </c>
      <c r="Q4" s="43">
        <f t="shared" si="0"/>
        <v>-9.1724780790107929E-2</v>
      </c>
      <c r="R4" s="43">
        <f t="shared" si="0"/>
        <v>0.10447198444246619</v>
      </c>
      <c r="S4" s="43">
        <f t="shared" si="0"/>
        <v>0.10671163605827161</v>
      </c>
      <c r="T4" s="43">
        <f t="shared" si="0"/>
        <v>0.10266819192903087</v>
      </c>
      <c r="U4" s="43">
        <f t="shared" si="0"/>
        <v>1.727363231711565E-2</v>
      </c>
      <c r="V4" s="43">
        <f t="shared" si="0"/>
        <v>1.5158321967287947E-2</v>
      </c>
      <c r="W4" s="43">
        <f t="shared" si="0"/>
        <v>0.11225203000591755</v>
      </c>
      <c r="X4" s="43">
        <f t="shared" si="0"/>
        <v>0.1435060101859611</v>
      </c>
      <c r="Y4" s="43">
        <f t="shared" si="0"/>
        <v>0.11742312289687407</v>
      </c>
      <c r="Z4" s="43">
        <f t="shared" si="0"/>
        <v>4.8546183036101143E-2</v>
      </c>
      <c r="AA4" s="43">
        <f t="shared" si="0"/>
        <v>8.9789314265273035E-2</v>
      </c>
      <c r="AB4" s="43">
        <f t="shared" si="0"/>
        <v>8.0421066527637253E-2</v>
      </c>
      <c r="AC4" s="43">
        <f t="shared" si="0"/>
        <v>0.12480660730178172</v>
      </c>
      <c r="AD4" s="43">
        <f t="shared" si="0"/>
        <v>0.14539282463814929</v>
      </c>
      <c r="AE4" s="43">
        <f t="shared" si="0"/>
        <v>7.6780373834770099E-2</v>
      </c>
      <c r="AF4" s="43">
        <f t="shared" si="0"/>
        <v>9.6583324753756195E-2</v>
      </c>
      <c r="AG4" s="43">
        <f t="shared" si="0"/>
        <v>0.14080663048489384</v>
      </c>
      <c r="AH4" s="43">
        <f t="shared" si="0"/>
        <v>0.20868428257218441</v>
      </c>
      <c r="AI4" s="16">
        <f t="shared" si="0"/>
        <v>0.14650238057660459</v>
      </c>
      <c r="AJ4" s="16">
        <f t="shared" si="0"/>
        <v>0.12598695502917945</v>
      </c>
      <c r="AK4" s="16">
        <f t="shared" si="0"/>
        <v>0.12423780487804881</v>
      </c>
      <c r="AL4" s="16">
        <f t="shared" si="0"/>
        <v>0.14277966101694917</v>
      </c>
      <c r="AM4" s="16">
        <f t="shared" si="0"/>
        <v>0.11390602752729007</v>
      </c>
      <c r="AN4" s="17">
        <f>(AH4+AG4+AF4)/3</f>
        <v>0.14869141260361149</v>
      </c>
      <c r="AO4" s="17">
        <f>(AH20+AG20+AF20)/3</f>
        <v>0.21529791008005073</v>
      </c>
      <c r="AP4" s="17">
        <f>(AH29+AG29+AF29)/3</f>
        <v>0.22930658692320841</v>
      </c>
      <c r="AQ4" s="17">
        <f>(AH106+AG106+AF106)/3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I6" s="10">
        <f>AI3*AI7</f>
        <v>4621765800</v>
      </c>
      <c r="AN6" s="47" t="s">
        <v>166</v>
      </c>
      <c r="AO6" s="48" t="s">
        <v>111</v>
      </c>
      <c r="AP6" s="48" t="s">
        <v>112</v>
      </c>
      <c r="AQ6" s="48" t="s">
        <v>113</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I7" s="2">
        <v>0.79330000000000001</v>
      </c>
      <c r="AN7" s="17">
        <f>AI7</f>
        <v>0.79330000000000001</v>
      </c>
      <c r="AO7" s="20">
        <f>AI21</f>
        <v>0.37092344661860627</v>
      </c>
      <c r="AP7" s="20">
        <f>AI30</f>
        <v>0.29539993134225884</v>
      </c>
      <c r="AQ7" s="20">
        <f>AI107/AI3</f>
        <v>0.315653964984552</v>
      </c>
    </row>
    <row r="8" spans="1:43" ht="19" x14ac:dyDescent="0.25">
      <c r="A8" s="5" t="s">
        <v>5</v>
      </c>
      <c r="B8" s="1" t="s">
        <v>91</v>
      </c>
      <c r="C8" s="1" t="s">
        <v>91</v>
      </c>
      <c r="D8" s="1" t="s">
        <v>91</v>
      </c>
      <c r="E8" s="1" t="s">
        <v>91</v>
      </c>
      <c r="F8" s="1" t="s">
        <v>91</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94</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95</v>
      </c>
      <c r="AO9" s="19" t="s">
        <v>96</v>
      </c>
      <c r="AP9" s="19" t="s">
        <v>97</v>
      </c>
      <c r="AQ9" s="19" t="s">
        <v>98</v>
      </c>
    </row>
    <row r="10" spans="1:43" ht="19" x14ac:dyDescent="0.25">
      <c r="A10" s="5" t="s">
        <v>6</v>
      </c>
      <c r="B10" s="1" t="s">
        <v>91</v>
      </c>
      <c r="C10" s="1" t="s">
        <v>91</v>
      </c>
      <c r="D10" s="1" t="s">
        <v>91</v>
      </c>
      <c r="E10" s="1" t="s">
        <v>91</v>
      </c>
      <c r="F10" s="1" t="s">
        <v>91</v>
      </c>
      <c r="G10" s="1" t="s">
        <v>91</v>
      </c>
      <c r="H10" s="1">
        <v>161800000</v>
      </c>
      <c r="I10" s="1">
        <v>215200000</v>
      </c>
      <c r="J10" s="1">
        <v>292600000</v>
      </c>
      <c r="K10" s="1" t="s">
        <v>91</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114</v>
      </c>
      <c r="AO12" s="19" t="s">
        <v>115</v>
      </c>
      <c r="AP12" s="19" t="s">
        <v>116</v>
      </c>
      <c r="AQ12" s="19" t="s">
        <v>117</v>
      </c>
    </row>
    <row r="13" spans="1:43" ht="19" x14ac:dyDescent="0.25">
      <c r="A13" s="14" t="s">
        <v>99</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118</v>
      </c>
      <c r="AO15" s="19" t="s">
        <v>119</v>
      </c>
      <c r="AP15" s="19" t="s">
        <v>120</v>
      </c>
      <c r="AQ15" s="19" t="s">
        <v>121</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5">
        <f>(AH35+AG35+AF35+AE35+AD35)/5</f>
        <v>2.1050524172133381E-3</v>
      </c>
      <c r="AO16" s="33">
        <f>AP102/AH3</f>
        <v>13.57384956219982</v>
      </c>
      <c r="AP16" s="33">
        <f>AP102/AH28</f>
        <v>70.055359520777088</v>
      </c>
      <c r="AQ16" s="34">
        <f>AP102/AH107</f>
        <v>43.114958484027561</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v>1991000</v>
      </c>
      <c r="Y17" s="1">
        <v>1696000</v>
      </c>
      <c r="Z17" s="1">
        <v>1895000</v>
      </c>
      <c r="AA17" s="1">
        <v>2814000</v>
      </c>
      <c r="AB17" s="1">
        <v>3771000</v>
      </c>
      <c r="AC17" s="1">
        <v>7303000</v>
      </c>
      <c r="AD17" s="1">
        <v>15607000</v>
      </c>
      <c r="AE17" s="1">
        <v>11659000</v>
      </c>
      <c r="AF17" s="1">
        <v>5140000</v>
      </c>
      <c r="AG17" s="1">
        <v>3365000</v>
      </c>
      <c r="AH17" s="1">
        <v>1698000</v>
      </c>
    </row>
    <row r="18" spans="1:43"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122</v>
      </c>
      <c r="AO18" s="19" t="s">
        <v>155</v>
      </c>
      <c r="AP18" s="19" t="s">
        <v>156</v>
      </c>
      <c r="AQ18" s="19" t="s">
        <v>157</v>
      </c>
    </row>
    <row r="19" spans="1:43"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I19" s="37">
        <v>2161000000</v>
      </c>
      <c r="AJ19" s="37">
        <v>2478000000</v>
      </c>
      <c r="AK19" s="37">
        <v>2867000000</v>
      </c>
      <c r="AL19" s="37">
        <v>3487000000</v>
      </c>
      <c r="AM19" s="37">
        <v>4119000000</v>
      </c>
      <c r="AN19" s="26">
        <f>AH40-AH56-AH61</f>
        <v>909150000</v>
      </c>
      <c r="AO19" s="33">
        <f>AP102/AI3</f>
        <v>11.839355759011328</v>
      </c>
      <c r="AP19" s="33">
        <f>AP102/AI28</f>
        <v>40.079074173155142</v>
      </c>
      <c r="AQ19" s="34">
        <f>AP102/AI107</f>
        <v>37.507388065252854</v>
      </c>
    </row>
    <row r="20" spans="1:43" ht="19" customHeight="1" x14ac:dyDescent="0.25">
      <c r="A20" s="14" t="s">
        <v>100</v>
      </c>
      <c r="B20" s="1"/>
      <c r="C20" s="15">
        <f>(C19/B19)-1</f>
        <v>0.31428571428571428</v>
      </c>
      <c r="D20" s="15">
        <f>(D19/C19)-1</f>
        <v>0.77173913043478271</v>
      </c>
      <c r="E20" s="15">
        <f>(E19/D19)-1</f>
        <v>0.75460122699386512</v>
      </c>
      <c r="F20" s="15">
        <f t="shared" ref="F20:AM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c r="AI20" s="16">
        <f t="shared" si="3"/>
        <v>0.59863882672782087</v>
      </c>
      <c r="AJ20" s="16">
        <f t="shared" si="3"/>
        <v>0.1466913465987969</v>
      </c>
      <c r="AK20" s="16">
        <f t="shared" si="3"/>
        <v>0.15698143664245356</v>
      </c>
      <c r="AL20" s="16">
        <f t="shared" si="3"/>
        <v>0.21625392396233001</v>
      </c>
      <c r="AM20" s="16">
        <f t="shared" si="3"/>
        <v>0.18124462288500154</v>
      </c>
    </row>
    <row r="21" spans="1:43" ht="20"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c r="AI21" s="38">
        <f>AI19/AI3</f>
        <v>0.37092344661860627</v>
      </c>
      <c r="AJ21" s="38">
        <f t="shared" ref="AJ21:AM21" si="4">AJ19/AJ3</f>
        <v>0.37774390243902439</v>
      </c>
      <c r="AK21" s="38">
        <f t="shared" si="4"/>
        <v>0.3887457627118644</v>
      </c>
      <c r="AL21" s="38">
        <f t="shared" si="4"/>
        <v>0.41373991457047937</v>
      </c>
      <c r="AM21" s="38">
        <f t="shared" si="4"/>
        <v>0.43875159778440564</v>
      </c>
      <c r="AO21" s="49" t="s">
        <v>167</v>
      </c>
      <c r="AP21" s="18" t="s">
        <v>158</v>
      </c>
      <c r="AQ21" s="19" t="s">
        <v>165</v>
      </c>
    </row>
    <row r="22" spans="1:43"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c r="AO22" s="17">
        <f>SUM(AI29:AM29)/5</f>
        <v>0.27707427260918605</v>
      </c>
      <c r="AP22" s="35">
        <f>AH98/AP102</f>
        <v>0</v>
      </c>
      <c r="AQ22" s="36">
        <f>AI107/AP102</f>
        <v>2.6661413966236908E-2</v>
      </c>
    </row>
    <row r="23" spans="1:43"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3"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3"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3"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3"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3"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c r="AI28" s="39">
        <v>1721000000</v>
      </c>
      <c r="AJ28" s="39">
        <v>1982000000</v>
      </c>
      <c r="AK28" s="39">
        <v>2299000000</v>
      </c>
      <c r="AL28" s="39">
        <v>2692000000</v>
      </c>
      <c r="AM28" s="39">
        <v>3109000000</v>
      </c>
    </row>
    <row r="29" spans="1:43" ht="20" customHeight="1" thickTop="1" x14ac:dyDescent="0.25">
      <c r="A29" s="14" t="s">
        <v>101</v>
      </c>
      <c r="B29" s="1"/>
      <c r="C29" s="15">
        <f>(C28/B28)-1</f>
        <v>-0.125</v>
      </c>
      <c r="D29" s="15">
        <f>(D28/C28)-1</f>
        <v>1.0285714285714285</v>
      </c>
      <c r="E29" s="15">
        <f>(E28/D28)-1</f>
        <v>0.85915492957746475</v>
      </c>
      <c r="F29" s="15">
        <f t="shared" ref="F29:AM29" si="5">(F28/E28)-1</f>
        <v>0.19696969696969702</v>
      </c>
      <c r="G29" s="15">
        <f t="shared" si="5"/>
        <v>0.91772151898734178</v>
      </c>
      <c r="H29" s="15">
        <f t="shared" si="5"/>
        <v>-0.21782178217821779</v>
      </c>
      <c r="I29" s="15">
        <f t="shared" si="5"/>
        <v>2.0548523206751055</v>
      </c>
      <c r="J29" s="15">
        <f t="shared" si="5"/>
        <v>0.26657458563535918</v>
      </c>
      <c r="K29" s="15">
        <f t="shared" si="5"/>
        <v>0.76008724100327152</v>
      </c>
      <c r="L29" s="15">
        <f t="shared" si="5"/>
        <v>-0.3941883519206939</v>
      </c>
      <c r="M29" s="15">
        <f t="shared" si="5"/>
        <v>-0.41907177483687541</v>
      </c>
      <c r="N29" s="15">
        <f t="shared" si="5"/>
        <v>-4.5208795464948413</v>
      </c>
      <c r="O29" s="15">
        <f t="shared" si="5"/>
        <v>-1.7486462026170915</v>
      </c>
      <c r="P29" s="15">
        <f t="shared" si="5"/>
        <v>-0.50350645187144338</v>
      </c>
      <c r="Q29" s="15">
        <f t="shared" si="5"/>
        <v>-1.2082139446036293</v>
      </c>
      <c r="R29" s="15">
        <f t="shared" si="5"/>
        <v>-2.5985269414653054</v>
      </c>
      <c r="S29" s="15">
        <f t="shared" si="5"/>
        <v>4.2740683857408452</v>
      </c>
      <c r="T29" s="15">
        <f t="shared" si="5"/>
        <v>0.4558705198059636</v>
      </c>
      <c r="U29" s="15">
        <f t="shared" si="5"/>
        <v>-0.11736622135194597</v>
      </c>
      <c r="V29" s="15">
        <f t="shared" si="5"/>
        <v>0.41377377281862593</v>
      </c>
      <c r="W29" s="15">
        <f t="shared" si="5"/>
        <v>-6.6222902772680725E-2</v>
      </c>
      <c r="X29" s="15">
        <f t="shared" si="5"/>
        <v>-0.17600874577618764</v>
      </c>
      <c r="Y29" s="15">
        <f t="shared" si="5"/>
        <v>0.35853773533184952</v>
      </c>
      <c r="Z29" s="15">
        <f t="shared" si="5"/>
        <v>4.5698143664245405E-2</v>
      </c>
      <c r="AA29" s="15">
        <f t="shared" si="5"/>
        <v>-0.12808539540914776</v>
      </c>
      <c r="AB29" s="15">
        <f t="shared" si="5"/>
        <v>0.18099090884948699</v>
      </c>
      <c r="AC29" s="15">
        <f t="shared" si="5"/>
        <v>-0.4881945537541319</v>
      </c>
      <c r="AD29" s="15">
        <f t="shared" si="5"/>
        <v>2.1671682666608088</v>
      </c>
      <c r="AE29" s="15">
        <f t="shared" si="5"/>
        <v>0.23085513204074748</v>
      </c>
      <c r="AF29" s="15">
        <f t="shared" si="5"/>
        <v>0.24791168498423088</v>
      </c>
      <c r="AG29" s="15">
        <f t="shared" si="5"/>
        <v>0.14024147019554545</v>
      </c>
      <c r="AH29" s="15">
        <f t="shared" si="5"/>
        <v>0.29976660558984891</v>
      </c>
      <c r="AI29" s="16">
        <f t="shared" si="5"/>
        <v>0.74792858782401672</v>
      </c>
      <c r="AJ29" s="16">
        <f t="shared" si="5"/>
        <v>0.15165601394538064</v>
      </c>
      <c r="AK29" s="16">
        <f t="shared" si="5"/>
        <v>0.15993945509586283</v>
      </c>
      <c r="AL29" s="16">
        <f t="shared" si="5"/>
        <v>0.17094388864723786</v>
      </c>
      <c r="AM29" s="16">
        <f t="shared" si="5"/>
        <v>0.15490341753343229</v>
      </c>
    </row>
    <row r="30" spans="1:43"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c r="AI30" s="40">
        <f>AI28/AI3</f>
        <v>0.29539993134225884</v>
      </c>
      <c r="AJ30" s="40">
        <f t="shared" ref="AJ30:AM30" si="6">AJ28/AJ3</f>
        <v>0.30213414634146341</v>
      </c>
      <c r="AK30" s="40">
        <f t="shared" si="6"/>
        <v>0.31172881355932203</v>
      </c>
      <c r="AL30" s="40">
        <f t="shared" si="6"/>
        <v>0.31941148552444232</v>
      </c>
      <c r="AM30" s="40">
        <f t="shared" si="6"/>
        <v>0.33116744780570939</v>
      </c>
    </row>
    <row r="31" spans="1:43"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c r="AI31" s="41">
        <v>11.07</v>
      </c>
      <c r="AJ31" s="41">
        <v>12.7</v>
      </c>
      <c r="AK31" s="41">
        <v>14.73</v>
      </c>
      <c r="AL31" s="41">
        <v>15.9</v>
      </c>
      <c r="AM31" s="41">
        <v>18.28</v>
      </c>
    </row>
    <row r="32" spans="1:43"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102</v>
      </c>
      <c r="B35" s="1"/>
      <c r="C35" s="22">
        <f>(C34-B34)/B34</f>
        <v>0.12500001125000013</v>
      </c>
      <c r="D35" s="22">
        <f t="shared" ref="D35:AH35" si="7">(D34-C34)/C34</f>
        <v>0.18333334000000001</v>
      </c>
      <c r="E35" s="22">
        <f t="shared" si="7"/>
        <v>6.2374241902116948E-2</v>
      </c>
      <c r="F35" s="22">
        <f t="shared" si="7"/>
        <v>0.17992424504562671</v>
      </c>
      <c r="G35" s="22">
        <f t="shared" si="7"/>
        <v>0.27668538752051514</v>
      </c>
      <c r="H35" s="22">
        <f t="shared" si="7"/>
        <v>-0.11991199471947195</v>
      </c>
      <c r="I35" s="22">
        <f t="shared" si="7"/>
        <v>0.40329411761317646</v>
      </c>
      <c r="J35" s="22">
        <f t="shared" si="7"/>
        <v>0.17028068881400679</v>
      </c>
      <c r="K35" s="22">
        <f t="shared" si="7"/>
        <v>7.2997500986452718E-2</v>
      </c>
      <c r="L35" s="22">
        <f t="shared" si="7"/>
        <v>-3.3014627768243848E-2</v>
      </c>
      <c r="M35" s="22">
        <f t="shared" si="7"/>
        <v>-8.9284205188878557E-2</v>
      </c>
      <c r="N35" s="22">
        <f t="shared" si="7"/>
        <v>3.3235899101439863E-2</v>
      </c>
      <c r="O35" s="22">
        <f t="shared" si="7"/>
        <v>0.18493294216261524</v>
      </c>
      <c r="P35" s="22">
        <f t="shared" si="7"/>
        <v>1.0516276543334639E-2</v>
      </c>
      <c r="Q35" s="22">
        <f t="shared" si="7"/>
        <v>-9.3886531117375355E-2</v>
      </c>
      <c r="R35" s="22">
        <f t="shared" si="7"/>
        <v>-1.6693108919086709E-3</v>
      </c>
      <c r="S35" s="22">
        <f t="shared" si="7"/>
        <v>3.4464650931402357E-2</v>
      </c>
      <c r="T35" s="22">
        <f t="shared" si="7"/>
        <v>-1.3652515429212643E-2</v>
      </c>
      <c r="U35" s="22">
        <f t="shared" si="7"/>
        <v>-1.229075247846579E-2</v>
      </c>
      <c r="V35" s="22">
        <f t="shared" si="7"/>
        <v>4.1506406960241882E-2</v>
      </c>
      <c r="W35" s="22">
        <f t="shared" si="7"/>
        <v>-1.0163845936107327E-2</v>
      </c>
      <c r="X35" s="22">
        <f t="shared" si="7"/>
        <v>-5.7858439684239232E-4</v>
      </c>
      <c r="Y35" s="22">
        <f t="shared" si="7"/>
        <v>4.206148522757519E-2</v>
      </c>
      <c r="Z35" s="22">
        <f t="shared" si="7"/>
        <v>7.0816916877925427E-3</v>
      </c>
      <c r="AA35" s="22">
        <f t="shared" si="7"/>
        <v>2.2509669646820114E-3</v>
      </c>
      <c r="AB35" s="22">
        <f t="shared" si="7"/>
        <v>-2.1155853604529783E-2</v>
      </c>
      <c r="AC35" s="22">
        <f t="shared" si="7"/>
        <v>9.8887675234777444E-4</v>
      </c>
      <c r="AD35" s="22">
        <f t="shared" si="7"/>
        <v>-9.5626121879721585E-3</v>
      </c>
      <c r="AE35" s="22">
        <f t="shared" si="7"/>
        <v>5.1958042413930228E-3</v>
      </c>
      <c r="AF35" s="22">
        <f t="shared" si="7"/>
        <v>9.8320254231791943E-3</v>
      </c>
      <c r="AG35" s="22">
        <f t="shared" si="7"/>
        <v>1.0494136385238847E-2</v>
      </c>
      <c r="AH35" s="22">
        <f t="shared" si="7"/>
        <v>-5.4340917757722132E-3</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t="s">
        <v>91</v>
      </c>
      <c r="C38" s="1" t="s">
        <v>91</v>
      </c>
      <c r="D38" s="1" t="s">
        <v>91</v>
      </c>
      <c r="E38" s="1" t="s">
        <v>91</v>
      </c>
      <c r="F38" s="1" t="s">
        <v>91</v>
      </c>
      <c r="G38" s="1" t="s">
        <v>91</v>
      </c>
      <c r="H38" s="1" t="s">
        <v>91</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91</v>
      </c>
      <c r="C39" s="1" t="s">
        <v>91</v>
      </c>
      <c r="D39" s="1" t="s">
        <v>91</v>
      </c>
      <c r="E39" s="1" t="s">
        <v>91</v>
      </c>
      <c r="F39" s="1" t="s">
        <v>91</v>
      </c>
      <c r="G39" s="1" t="s">
        <v>91</v>
      </c>
      <c r="H39" s="1" t="s">
        <v>91</v>
      </c>
      <c r="I39" s="1" t="s">
        <v>91</v>
      </c>
      <c r="J39" s="1" t="s">
        <v>91</v>
      </c>
      <c r="K39" s="1" t="s">
        <v>91</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91</v>
      </c>
      <c r="Y39" s="1" t="s">
        <v>91</v>
      </c>
      <c r="Z39" s="1" t="s">
        <v>91</v>
      </c>
      <c r="AA39" s="1">
        <v>128747000</v>
      </c>
      <c r="AB39" s="1">
        <v>140695000</v>
      </c>
      <c r="AC39" s="1" t="s">
        <v>91</v>
      </c>
      <c r="AD39" s="1" t="s">
        <v>91</v>
      </c>
      <c r="AE39" s="1" t="s">
        <v>91</v>
      </c>
      <c r="AF39" s="1" t="s">
        <v>91</v>
      </c>
      <c r="AG39" s="1">
        <v>147949000</v>
      </c>
      <c r="AH39" s="1">
        <v>147913000</v>
      </c>
    </row>
    <row r="40" spans="1:34" ht="19" x14ac:dyDescent="0.25">
      <c r="A40" s="5" t="s">
        <v>32</v>
      </c>
      <c r="B40" s="1" t="s">
        <v>91</v>
      </c>
      <c r="C40" s="1" t="s">
        <v>91</v>
      </c>
      <c r="D40" s="1" t="s">
        <v>91</v>
      </c>
      <c r="E40" s="1" t="s">
        <v>91</v>
      </c>
      <c r="F40" s="1" t="s">
        <v>91</v>
      </c>
      <c r="G40" s="1" t="s">
        <v>91</v>
      </c>
      <c r="H40" s="1" t="s">
        <v>91</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91</v>
      </c>
      <c r="C41" s="1" t="s">
        <v>91</v>
      </c>
      <c r="D41" s="1" t="s">
        <v>91</v>
      </c>
      <c r="E41" s="1" t="s">
        <v>91</v>
      </c>
      <c r="F41" s="1" t="s">
        <v>91</v>
      </c>
      <c r="G41" s="1" t="s">
        <v>91</v>
      </c>
      <c r="H41" s="1" t="s">
        <v>91</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v>122407000</v>
      </c>
      <c r="AE42" s="1">
        <v>141518000</v>
      </c>
      <c r="AF42" s="1">
        <v>192333000</v>
      </c>
      <c r="AG42" s="1">
        <v>229023000</v>
      </c>
      <c r="AH42" s="1">
        <v>211927000</v>
      </c>
    </row>
    <row r="43" spans="1:34" ht="19" x14ac:dyDescent="0.25">
      <c r="A43" s="5" t="s">
        <v>35</v>
      </c>
      <c r="B43" s="1" t="s">
        <v>91</v>
      </c>
      <c r="C43" s="1" t="s">
        <v>91</v>
      </c>
      <c r="D43" s="1" t="s">
        <v>91</v>
      </c>
      <c r="E43" s="1" t="s">
        <v>91</v>
      </c>
      <c r="F43" s="1" t="s">
        <v>91</v>
      </c>
      <c r="G43" s="1" t="s">
        <v>91</v>
      </c>
      <c r="H43" s="1" t="s">
        <v>91</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91</v>
      </c>
      <c r="C44" s="10" t="s">
        <v>91</v>
      </c>
      <c r="D44" s="10" t="s">
        <v>91</v>
      </c>
      <c r="E44" s="10" t="s">
        <v>91</v>
      </c>
      <c r="F44" s="10" t="s">
        <v>91</v>
      </c>
      <c r="G44" s="10" t="s">
        <v>91</v>
      </c>
      <c r="H44" s="10" t="s">
        <v>91</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91</v>
      </c>
      <c r="C45" s="1" t="s">
        <v>91</v>
      </c>
      <c r="D45" s="1" t="s">
        <v>91</v>
      </c>
      <c r="E45" s="1" t="s">
        <v>91</v>
      </c>
      <c r="F45" s="1" t="s">
        <v>91</v>
      </c>
      <c r="G45" s="1" t="s">
        <v>91</v>
      </c>
      <c r="H45" s="1" t="s">
        <v>91</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91</v>
      </c>
      <c r="C47" s="1" t="s">
        <v>91</v>
      </c>
      <c r="D47" s="1" t="s">
        <v>91</v>
      </c>
      <c r="E47" s="1" t="s">
        <v>91</v>
      </c>
      <c r="F47" s="1" t="s">
        <v>91</v>
      </c>
      <c r="G47" s="1" t="s">
        <v>91</v>
      </c>
      <c r="H47" s="1" t="s">
        <v>91</v>
      </c>
      <c r="I47" s="1" t="s">
        <v>91</v>
      </c>
      <c r="J47" s="1" t="s">
        <v>91</v>
      </c>
      <c r="K47" s="1" t="s">
        <v>91</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91</v>
      </c>
      <c r="C48" s="1" t="s">
        <v>91</v>
      </c>
      <c r="D48" s="1" t="s">
        <v>91</v>
      </c>
      <c r="E48" s="1" t="s">
        <v>91</v>
      </c>
      <c r="F48" s="1" t="s">
        <v>91</v>
      </c>
      <c r="G48" s="1" t="s">
        <v>91</v>
      </c>
      <c r="H48" s="1" t="s">
        <v>91</v>
      </c>
      <c r="I48" s="1" t="s">
        <v>91</v>
      </c>
      <c r="J48" s="1" t="s">
        <v>91</v>
      </c>
      <c r="K48" s="1" t="s">
        <v>91</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35085000</v>
      </c>
      <c r="O50" s="1" t="s">
        <v>91</v>
      </c>
      <c r="P50" s="1" t="s">
        <v>91</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91</v>
      </c>
      <c r="C51" s="1" t="s">
        <v>91</v>
      </c>
      <c r="D51" s="1" t="s">
        <v>91</v>
      </c>
      <c r="E51" s="1" t="s">
        <v>91</v>
      </c>
      <c r="F51" s="1" t="s">
        <v>91</v>
      </c>
      <c r="G51" s="1" t="s">
        <v>91</v>
      </c>
      <c r="H51" s="1" t="s">
        <v>91</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91</v>
      </c>
      <c r="C52" s="1" t="s">
        <v>91</v>
      </c>
      <c r="D52" s="1" t="s">
        <v>91</v>
      </c>
      <c r="E52" s="1" t="s">
        <v>91</v>
      </c>
      <c r="F52" s="1" t="s">
        <v>91</v>
      </c>
      <c r="G52" s="1" t="s">
        <v>91</v>
      </c>
      <c r="H52" s="1" t="s">
        <v>91</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t="s">
        <v>91</v>
      </c>
      <c r="C54" s="11" t="s">
        <v>91</v>
      </c>
      <c r="D54" s="11" t="s">
        <v>91</v>
      </c>
      <c r="E54" s="11" t="s">
        <v>91</v>
      </c>
      <c r="F54" s="11" t="s">
        <v>91</v>
      </c>
      <c r="G54" s="11" t="s">
        <v>91</v>
      </c>
      <c r="H54" s="11" t="s">
        <v>91</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91</v>
      </c>
      <c r="C55" s="1" t="s">
        <v>91</v>
      </c>
      <c r="D55" s="1" t="s">
        <v>91</v>
      </c>
      <c r="E55" s="1" t="s">
        <v>91</v>
      </c>
      <c r="F55" s="1" t="s">
        <v>91</v>
      </c>
      <c r="G55" s="1" t="s">
        <v>91</v>
      </c>
      <c r="H55" s="1" t="s">
        <v>91</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91</v>
      </c>
      <c r="C56" s="1" t="s">
        <v>91</v>
      </c>
      <c r="D56" s="1" t="s">
        <v>91</v>
      </c>
      <c r="E56" s="1" t="s">
        <v>91</v>
      </c>
      <c r="F56" s="1" t="s">
        <v>91</v>
      </c>
      <c r="G56" s="1" t="s">
        <v>91</v>
      </c>
      <c r="H56" s="1" t="s">
        <v>91</v>
      </c>
      <c r="I56" s="1">
        <v>11600000</v>
      </c>
      <c r="J56" s="1">
        <v>8900000</v>
      </c>
      <c r="K56" s="1">
        <v>7600000</v>
      </c>
      <c r="L56" s="1">
        <v>6416000</v>
      </c>
      <c r="M56" s="1">
        <v>535000</v>
      </c>
      <c r="N56" s="1">
        <v>1423000</v>
      </c>
      <c r="O56" s="1" t="s">
        <v>91</v>
      </c>
      <c r="P56" s="1" t="s">
        <v>91</v>
      </c>
      <c r="Q56" s="1" t="s">
        <v>91</v>
      </c>
      <c r="R56" s="1" t="s">
        <v>91</v>
      </c>
      <c r="S56" s="1" t="s">
        <v>91</v>
      </c>
      <c r="T56" s="1" t="s">
        <v>91</v>
      </c>
      <c r="U56" s="1" t="s">
        <v>91</v>
      </c>
      <c r="V56" s="1" t="s">
        <v>91</v>
      </c>
      <c r="W56" s="1" t="s">
        <v>91</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v>46443000</v>
      </c>
      <c r="AH57" s="1" t="s">
        <v>91</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91</v>
      </c>
      <c r="C59" s="1" t="s">
        <v>91</v>
      </c>
      <c r="D59" s="1" t="s">
        <v>91</v>
      </c>
      <c r="E59" s="1" t="s">
        <v>91</v>
      </c>
      <c r="F59" s="1" t="s">
        <v>91</v>
      </c>
      <c r="G59" s="1" t="s">
        <v>91</v>
      </c>
      <c r="H59" s="1" t="s">
        <v>91</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91</v>
      </c>
      <c r="C60" s="10" t="s">
        <v>91</v>
      </c>
      <c r="D60" s="10" t="s">
        <v>91</v>
      </c>
      <c r="E60" s="10" t="s">
        <v>91</v>
      </c>
      <c r="F60" s="10" t="s">
        <v>91</v>
      </c>
      <c r="G60" s="10" t="s">
        <v>91</v>
      </c>
      <c r="H60" s="10" t="s">
        <v>91</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91</v>
      </c>
      <c r="C61" s="1" t="s">
        <v>91</v>
      </c>
      <c r="D61" s="1" t="s">
        <v>91</v>
      </c>
      <c r="E61" s="1" t="s">
        <v>91</v>
      </c>
      <c r="F61" s="1" t="s">
        <v>91</v>
      </c>
      <c r="G61" s="1" t="s">
        <v>91</v>
      </c>
      <c r="H61" s="1" t="s">
        <v>91</v>
      </c>
      <c r="I61" s="1">
        <v>16000000</v>
      </c>
      <c r="J61" s="1">
        <v>9000000</v>
      </c>
      <c r="K61" s="1">
        <v>13100000</v>
      </c>
      <c r="L61" s="1">
        <v>564000</v>
      </c>
      <c r="M61" s="1">
        <v>73000</v>
      </c>
      <c r="N61" s="1" t="s">
        <v>91</v>
      </c>
      <c r="O61" s="1" t="s">
        <v>91</v>
      </c>
      <c r="P61" s="1" t="s">
        <v>91</v>
      </c>
      <c r="Q61" s="1" t="s">
        <v>91</v>
      </c>
      <c r="R61" s="1" t="s">
        <v>91</v>
      </c>
      <c r="S61" s="1" t="s">
        <v>91</v>
      </c>
      <c r="T61" s="1" t="s">
        <v>91</v>
      </c>
      <c r="U61" s="1" t="s">
        <v>91</v>
      </c>
      <c r="V61" s="1" t="s">
        <v>91</v>
      </c>
      <c r="W61" s="1" t="s">
        <v>91</v>
      </c>
      <c r="X61" s="1">
        <v>105000000</v>
      </c>
      <c r="Y61" s="1">
        <v>75000000</v>
      </c>
      <c r="Z61" s="1">
        <v>45000000</v>
      </c>
      <c r="AA61" s="1" t="s">
        <v>91</v>
      </c>
      <c r="AB61" s="1" t="s">
        <v>91</v>
      </c>
      <c r="AC61" s="1">
        <v>134063000</v>
      </c>
      <c r="AD61" s="1">
        <v>125535000</v>
      </c>
      <c r="AE61" s="1">
        <v>120093000</v>
      </c>
      <c r="AF61" s="1">
        <v>100823000</v>
      </c>
      <c r="AG61" s="1">
        <v>512097000</v>
      </c>
      <c r="AH61" s="1">
        <v>602097000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152745000</v>
      </c>
      <c r="U63" s="1" t="s">
        <v>91</v>
      </c>
      <c r="V63" s="1" t="s">
        <v>91</v>
      </c>
      <c r="W63" s="1" t="s">
        <v>91</v>
      </c>
      <c r="X63" s="1">
        <v>52645000</v>
      </c>
      <c r="Y63" s="1" t="s">
        <v>91</v>
      </c>
      <c r="Z63" s="1" t="s">
        <v>91</v>
      </c>
      <c r="AA63" s="1" t="s">
        <v>91</v>
      </c>
      <c r="AB63" s="1" t="s">
        <v>91</v>
      </c>
      <c r="AC63" s="1" t="s">
        <v>91</v>
      </c>
      <c r="AD63" s="1" t="s">
        <v>91</v>
      </c>
      <c r="AE63" s="1" t="s">
        <v>91</v>
      </c>
      <c r="AF63" s="1" t="s">
        <v>91</v>
      </c>
      <c r="AG63" s="1" t="s">
        <v>91</v>
      </c>
      <c r="AH63" s="1" t="s">
        <v>91</v>
      </c>
    </row>
    <row r="64" spans="1:34" ht="19" x14ac:dyDescent="0.25">
      <c r="A64" s="5" t="s">
        <v>55</v>
      </c>
      <c r="B64" s="1" t="s">
        <v>91</v>
      </c>
      <c r="C64" s="1" t="s">
        <v>91</v>
      </c>
      <c r="D64" s="1" t="s">
        <v>91</v>
      </c>
      <c r="E64" s="1" t="s">
        <v>91</v>
      </c>
      <c r="F64" s="1" t="s">
        <v>91</v>
      </c>
      <c r="G64" s="1" t="s">
        <v>91</v>
      </c>
      <c r="H64" s="1" t="s">
        <v>91</v>
      </c>
      <c r="I64" s="1" t="s">
        <v>91</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91</v>
      </c>
      <c r="C65" s="1" t="s">
        <v>91</v>
      </c>
      <c r="D65" s="1" t="s">
        <v>91</v>
      </c>
      <c r="E65" s="1" t="s">
        <v>91</v>
      </c>
      <c r="F65" s="1" t="s">
        <v>91</v>
      </c>
      <c r="G65" s="1" t="s">
        <v>91</v>
      </c>
      <c r="H65" s="1" t="s">
        <v>91</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t="s">
        <v>91</v>
      </c>
      <c r="C67" s="10" t="s">
        <v>91</v>
      </c>
      <c r="D67" s="10" t="s">
        <v>91</v>
      </c>
      <c r="E67" s="10" t="s">
        <v>91</v>
      </c>
      <c r="F67" s="10" t="s">
        <v>91</v>
      </c>
      <c r="G67" s="10" t="s">
        <v>91</v>
      </c>
      <c r="H67" s="10" t="s">
        <v>91</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91</v>
      </c>
      <c r="C68" s="1" t="s">
        <v>91</v>
      </c>
      <c r="D68" s="1" t="s">
        <v>91</v>
      </c>
      <c r="E68" s="1" t="s">
        <v>91</v>
      </c>
      <c r="F68" s="1" t="s">
        <v>91</v>
      </c>
      <c r="G68" s="1" t="s">
        <v>91</v>
      </c>
      <c r="H68" s="1" t="s">
        <v>91</v>
      </c>
      <c r="I68" s="1" t="s">
        <v>91</v>
      </c>
      <c r="J68" s="1" t="s">
        <v>91</v>
      </c>
      <c r="K68" s="1" t="s">
        <v>91</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91</v>
      </c>
      <c r="C69" s="1" t="s">
        <v>91</v>
      </c>
      <c r="D69" s="1" t="s">
        <v>91</v>
      </c>
      <c r="E69" s="1" t="s">
        <v>91</v>
      </c>
      <c r="F69" s="1" t="s">
        <v>91</v>
      </c>
      <c r="G69" s="1" t="s">
        <v>91</v>
      </c>
      <c r="H69" s="1" t="s">
        <v>91</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91</v>
      </c>
      <c r="C70" s="1" t="s">
        <v>91</v>
      </c>
      <c r="D70" s="1" t="s">
        <v>91</v>
      </c>
      <c r="E70" s="1" t="s">
        <v>91</v>
      </c>
      <c r="F70" s="1" t="s">
        <v>91</v>
      </c>
      <c r="G70" s="1" t="s">
        <v>91</v>
      </c>
      <c r="H70" s="1" t="s">
        <v>91</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91</v>
      </c>
      <c r="C71" s="1" t="s">
        <v>91</v>
      </c>
      <c r="D71" s="1" t="s">
        <v>91</v>
      </c>
      <c r="E71" s="1" t="s">
        <v>91</v>
      </c>
      <c r="F71" s="1" t="s">
        <v>91</v>
      </c>
      <c r="G71" s="1" t="s">
        <v>91</v>
      </c>
      <c r="H71" s="1" t="s">
        <v>91</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91</v>
      </c>
      <c r="C72" s="10" t="s">
        <v>91</v>
      </c>
      <c r="D72" s="10" t="s">
        <v>91</v>
      </c>
      <c r="E72" s="10" t="s">
        <v>91</v>
      </c>
      <c r="F72" s="10" t="s">
        <v>91</v>
      </c>
      <c r="G72" s="10" t="s">
        <v>91</v>
      </c>
      <c r="H72" s="10" t="s">
        <v>91</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91</v>
      </c>
      <c r="C73" s="11" t="s">
        <v>91</v>
      </c>
      <c r="D73" s="11" t="s">
        <v>91</v>
      </c>
      <c r="E73" s="11" t="s">
        <v>91</v>
      </c>
      <c r="F73" s="11" t="s">
        <v>91</v>
      </c>
      <c r="G73" s="11" t="s">
        <v>91</v>
      </c>
      <c r="H73" s="11" t="s">
        <v>91</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91</v>
      </c>
      <c r="C78" s="1" t="s">
        <v>91</v>
      </c>
      <c r="D78" s="1" t="s">
        <v>91</v>
      </c>
      <c r="E78" s="1" t="s">
        <v>91</v>
      </c>
      <c r="F78" s="1" t="s">
        <v>91</v>
      </c>
      <c r="G78" s="1" t="s">
        <v>91</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103</v>
      </c>
      <c r="B80" s="15" t="e">
        <f t="shared" ref="B80:AH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f t="shared" si="8"/>
        <v>4.1861850159369725E-2</v>
      </c>
      <c r="V80" s="15">
        <f t="shared" si="8"/>
        <v>4.3448753893968177E-2</v>
      </c>
      <c r="W80" s="15">
        <f t="shared" si="8"/>
        <v>3.6736402926982381E-2</v>
      </c>
      <c r="X80" s="15">
        <f t="shared" si="8"/>
        <v>4.066817120790972E-2</v>
      </c>
      <c r="Y80" s="15">
        <f t="shared" si="8"/>
        <v>3.4405523556553977E-2</v>
      </c>
      <c r="Z80" s="15">
        <f t="shared" si="8"/>
        <v>3.8610488988428518E-2</v>
      </c>
      <c r="AA80" s="15">
        <f t="shared" si="8"/>
        <v>3.8533394047215001E-2</v>
      </c>
      <c r="AB80" s="15">
        <f t="shared" si="8"/>
        <v>4.0281408047447877E-2</v>
      </c>
      <c r="AC80" s="15">
        <f t="shared" si="8"/>
        <v>3.9742667567012127E-2</v>
      </c>
      <c r="AD80" s="15">
        <f t="shared" si="8"/>
        <v>4.4866836822641552E-2</v>
      </c>
      <c r="AE80" s="15">
        <f t="shared" si="8"/>
        <v>4.6121723667790049E-2</v>
      </c>
      <c r="AF80" s="15">
        <f t="shared" si="8"/>
        <v>6.7453200990643586E-2</v>
      </c>
      <c r="AG80" s="15">
        <f t="shared" si="8"/>
        <v>8.2125630293376162E-2</v>
      </c>
      <c r="AH80" s="15">
        <f t="shared" si="8"/>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v>-66509000</v>
      </c>
      <c r="AE83" s="1">
        <v>-19243000</v>
      </c>
      <c r="AF83" s="1">
        <v>-55024000</v>
      </c>
      <c r="AG83" s="1">
        <v>-48046000</v>
      </c>
      <c r="AH83" s="1">
        <v>1320000</v>
      </c>
    </row>
    <row r="84" spans="1:42"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v>10566000</v>
      </c>
      <c r="W84" s="1" t="s">
        <v>91</v>
      </c>
      <c r="X84" s="1" t="s">
        <v>91</v>
      </c>
      <c r="Y84" s="1" t="s">
        <v>91</v>
      </c>
      <c r="Z84" s="1" t="s">
        <v>91</v>
      </c>
      <c r="AA84" s="1" t="s">
        <v>91</v>
      </c>
      <c r="AB84" s="1" t="s">
        <v>91</v>
      </c>
      <c r="AC84" s="1" t="s">
        <v>91</v>
      </c>
      <c r="AD84" s="1" t="s">
        <v>91</v>
      </c>
      <c r="AE84" s="1" t="s">
        <v>91</v>
      </c>
      <c r="AF84" s="1" t="s">
        <v>91</v>
      </c>
      <c r="AG84" s="1" t="s">
        <v>91</v>
      </c>
      <c r="AH84" s="1" t="s">
        <v>91</v>
      </c>
      <c r="AI84" s="52"/>
      <c r="AJ84" s="52"/>
      <c r="AK84" s="52"/>
      <c r="AL84" s="52"/>
      <c r="AM84" s="52"/>
      <c r="AN84" s="52"/>
      <c r="AO84" s="74" t="s">
        <v>123</v>
      </c>
      <c r="AP84" s="75"/>
    </row>
    <row r="85" spans="1:42" ht="19" customHeight="1" x14ac:dyDescent="0.25">
      <c r="A85" s="5" t="s">
        <v>71</v>
      </c>
      <c r="B85" s="1" t="s">
        <v>91</v>
      </c>
      <c r="C85" s="1" t="s">
        <v>91</v>
      </c>
      <c r="D85" s="1" t="s">
        <v>91</v>
      </c>
      <c r="E85" s="1" t="s">
        <v>91</v>
      </c>
      <c r="F85" s="1" t="s">
        <v>91</v>
      </c>
      <c r="G85" s="1" t="s">
        <v>91</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I85" s="52"/>
      <c r="AJ85" s="52"/>
      <c r="AK85" s="52"/>
      <c r="AL85" s="52"/>
      <c r="AM85" s="52"/>
      <c r="AN85" s="52"/>
      <c r="AO85" s="78" t="s">
        <v>124</v>
      </c>
      <c r="AP85" s="78"/>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I86" s="52"/>
      <c r="AJ86" s="52"/>
      <c r="AK86" s="52"/>
      <c r="AL86" s="52"/>
      <c r="AM86" s="52"/>
      <c r="AN86" s="52"/>
      <c r="AO86" s="27" t="s">
        <v>125</v>
      </c>
      <c r="AP86" s="53">
        <f>AH17</f>
        <v>1698000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I87" s="52"/>
      <c r="AJ87" s="52"/>
      <c r="AK87" s="52"/>
      <c r="AL87" s="52"/>
      <c r="AM87" s="52"/>
      <c r="AN87" s="52"/>
      <c r="AO87" s="27" t="s">
        <v>126</v>
      </c>
      <c r="AP87" s="53">
        <f>AH56</f>
        <v>54274000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I88" s="52"/>
      <c r="AJ88" s="52"/>
      <c r="AK88" s="52"/>
      <c r="AL88" s="52"/>
      <c r="AM88" s="52"/>
      <c r="AN88" s="52"/>
      <c r="AO88" s="27" t="s">
        <v>127</v>
      </c>
      <c r="AP88" s="53">
        <f>AH61</f>
        <v>602097000</v>
      </c>
    </row>
    <row r="89" spans="1:42" ht="20" customHeight="1" x14ac:dyDescent="0.25">
      <c r="A89" s="14" t="s">
        <v>104</v>
      </c>
      <c r="B89" s="15">
        <f t="shared" ref="B89:AH89" si="9">(-1*B88)/B3</f>
        <v>4.9773755656108594E-2</v>
      </c>
      <c r="C89" s="15">
        <f t="shared" si="9"/>
        <v>7.9012345679012344E-2</v>
      </c>
      <c r="D89" s="15">
        <f t="shared" si="9"/>
        <v>6.6666666666666666E-2</v>
      </c>
      <c r="E89" s="15">
        <f t="shared" si="9"/>
        <v>8.8888888888888892E-2</v>
      </c>
      <c r="F89" s="15">
        <f t="shared" si="9"/>
        <v>6.6326530612244902E-2</v>
      </c>
      <c r="G89" s="15">
        <f t="shared" si="9"/>
        <v>7.8719397363465157E-2</v>
      </c>
      <c r="H89" s="15">
        <f t="shared" si="9"/>
        <v>0.11117397454031118</v>
      </c>
      <c r="I89" s="15">
        <f t="shared" si="9"/>
        <v>0.10919655379683431</v>
      </c>
      <c r="J89" s="15">
        <f t="shared" si="9"/>
        <v>0.12313692714862794</v>
      </c>
      <c r="K89" s="15">
        <f t="shared" si="9"/>
        <v>0.13931274035479468</v>
      </c>
      <c r="L89" s="15">
        <f t="shared" si="9"/>
        <v>8.7397196655175313E-2</v>
      </c>
      <c r="M89" s="15">
        <f t="shared" si="9"/>
        <v>0.12124641728522084</v>
      </c>
      <c r="N89" s="15">
        <f t="shared" si="9"/>
        <v>5.3781766596729966E-2</v>
      </c>
      <c r="O89" s="15">
        <f t="shared" si="9"/>
        <v>4.2607242415565898E-2</v>
      </c>
      <c r="P89" s="15">
        <f t="shared" si="9"/>
        <v>4.1209445254298128E-2</v>
      </c>
      <c r="Q89" s="15">
        <f t="shared" si="9"/>
        <v>4.3917369252498409E-2</v>
      </c>
      <c r="R89" s="15">
        <f t="shared" si="9"/>
        <v>4.6923034794990687E-2</v>
      </c>
      <c r="S89" s="15">
        <f t="shared" si="9"/>
        <v>3.9002234283928086E-2</v>
      </c>
      <c r="T89" s="15">
        <f t="shared" si="9"/>
        <v>3.1222535455674889E-2</v>
      </c>
      <c r="U89" s="15">
        <f t="shared" si="9"/>
        <v>2.8821840453808513E-2</v>
      </c>
      <c r="V89" s="15">
        <f t="shared" si="9"/>
        <v>2.8408856337652763E-2</v>
      </c>
      <c r="W89" s="15">
        <f t="shared" si="9"/>
        <v>3.7342663626897657E-2</v>
      </c>
      <c r="X89" s="15">
        <f t="shared" si="9"/>
        <v>3.0860179599628022E-2</v>
      </c>
      <c r="Y89" s="15">
        <f t="shared" si="9"/>
        <v>3.3359766060174885E-2</v>
      </c>
      <c r="Z89" s="15">
        <f t="shared" si="9"/>
        <v>5.0195093784994399E-2</v>
      </c>
      <c r="AA89" s="15">
        <f t="shared" si="9"/>
        <v>3.8785377468935796E-2</v>
      </c>
      <c r="AB89" s="15">
        <f t="shared" si="9"/>
        <v>2.7619449402525951E-2</v>
      </c>
      <c r="AC89" s="15">
        <f t="shared" si="9"/>
        <v>2.5809576935498076E-2</v>
      </c>
      <c r="AD89" s="15">
        <f t="shared" si="9"/>
        <v>3.1712323192968538E-2</v>
      </c>
      <c r="AE89" s="15">
        <f t="shared" si="9"/>
        <v>5.895478731476296E-2</v>
      </c>
      <c r="AF89" s="15">
        <f t="shared" si="9"/>
        <v>4.1982415994872575E-2</v>
      </c>
      <c r="AG89" s="15">
        <f t="shared" si="9"/>
        <v>2.2302496579010525E-2</v>
      </c>
      <c r="AH89" s="15">
        <f t="shared" si="9"/>
        <v>2.6879439351283528E-2</v>
      </c>
      <c r="AI89" s="52"/>
      <c r="AJ89" s="52"/>
      <c r="AK89" s="52"/>
      <c r="AL89" s="52"/>
      <c r="AM89" s="52"/>
      <c r="AN89" s="52"/>
      <c r="AO89" s="28" t="s">
        <v>128</v>
      </c>
      <c r="AP89" s="54">
        <f>AP86/(AP87+AP88)</f>
        <v>2.5869515868312282E-3</v>
      </c>
    </row>
    <row r="90" spans="1:42" ht="20" x14ac:dyDescent="0.25">
      <c r="A90" s="5" t="s">
        <v>75</v>
      </c>
      <c r="B90" s="1" t="s">
        <v>91</v>
      </c>
      <c r="C90" s="1" t="s">
        <v>91</v>
      </c>
      <c r="D90" s="1" t="s">
        <v>91</v>
      </c>
      <c r="E90" s="1" t="s">
        <v>91</v>
      </c>
      <c r="F90" s="1" t="s">
        <v>91</v>
      </c>
      <c r="G90" s="1" t="s">
        <v>91</v>
      </c>
      <c r="H90" s="1" t="s">
        <v>91</v>
      </c>
      <c r="I90" s="1" t="s">
        <v>91</v>
      </c>
      <c r="J90" s="1" t="s">
        <v>91</v>
      </c>
      <c r="K90" s="1" t="s">
        <v>91</v>
      </c>
      <c r="L90" s="1">
        <v>-14474000</v>
      </c>
      <c r="M90" s="1" t="s">
        <v>91</v>
      </c>
      <c r="N90" s="1">
        <v>168311000</v>
      </c>
      <c r="O90" s="1" t="s">
        <v>91</v>
      </c>
      <c r="P90" s="1">
        <v>-60138000</v>
      </c>
      <c r="Q90" s="1">
        <v>-174498000</v>
      </c>
      <c r="R90" s="1">
        <v>-41142000</v>
      </c>
      <c r="S90" s="1">
        <v>-57473000</v>
      </c>
      <c r="T90" s="1">
        <v>-184650000</v>
      </c>
      <c r="U90" s="1">
        <v>-53358000</v>
      </c>
      <c r="V90" s="1">
        <v>-500829000</v>
      </c>
      <c r="W90" s="1">
        <v>-41015000</v>
      </c>
      <c r="X90" s="1">
        <v>-970089000</v>
      </c>
      <c r="Y90" s="1" t="s">
        <v>91</v>
      </c>
      <c r="Z90" s="1">
        <v>-394623000</v>
      </c>
      <c r="AA90" s="1">
        <v>-340153000</v>
      </c>
      <c r="AB90" s="1">
        <v>-60056000</v>
      </c>
      <c r="AC90" s="1">
        <v>-259202000</v>
      </c>
      <c r="AD90" s="1">
        <v>-652643000</v>
      </c>
      <c r="AE90" s="1">
        <v>-36605000</v>
      </c>
      <c r="AF90" s="1">
        <v>-201045000</v>
      </c>
      <c r="AG90" s="1">
        <v>-296017000</v>
      </c>
      <c r="AH90" s="1">
        <v>-422374000</v>
      </c>
      <c r="AI90" s="52"/>
      <c r="AJ90" s="52"/>
      <c r="AK90" s="52"/>
      <c r="AL90" s="52"/>
      <c r="AM90" s="52"/>
      <c r="AN90" s="52"/>
      <c r="AO90" s="27" t="s">
        <v>105</v>
      </c>
      <c r="AP90" s="53">
        <f>AH27</f>
        <v>137078000</v>
      </c>
    </row>
    <row r="91" spans="1:42" ht="20" x14ac:dyDescent="0.25">
      <c r="A91" s="5" t="s">
        <v>76</v>
      </c>
      <c r="B91" s="1">
        <v>-2000000</v>
      </c>
      <c r="C91" s="1">
        <v>-4700000</v>
      </c>
      <c r="D91" s="1">
        <v>-21200000</v>
      </c>
      <c r="E91" s="1">
        <v>-24700000</v>
      </c>
      <c r="F91" s="1" t="s">
        <v>91</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91</v>
      </c>
      <c r="Z91" s="1" t="s">
        <v>91</v>
      </c>
      <c r="AA91" s="1">
        <v>-238902000</v>
      </c>
      <c r="AB91" s="1">
        <v>-169714000</v>
      </c>
      <c r="AC91" s="1">
        <v>-155098000</v>
      </c>
      <c r="AD91" s="1">
        <v>-3561000</v>
      </c>
      <c r="AE91" s="1">
        <v>-3245000</v>
      </c>
      <c r="AF91" s="1">
        <v>-2762000</v>
      </c>
      <c r="AG91" s="1">
        <v>-169323000</v>
      </c>
      <c r="AH91" s="1">
        <v>-104245000</v>
      </c>
      <c r="AI91" s="52"/>
      <c r="AJ91" s="52"/>
      <c r="AK91" s="52"/>
      <c r="AL91" s="52"/>
      <c r="AM91" s="52"/>
      <c r="AN91" s="52"/>
      <c r="AO91" s="27" t="s">
        <v>19</v>
      </c>
      <c r="AP91" s="53">
        <f>AH25</f>
        <v>1115514000</v>
      </c>
    </row>
    <row r="92" spans="1:42" ht="20" x14ac:dyDescent="0.25">
      <c r="A92" s="5" t="s">
        <v>77</v>
      </c>
      <c r="B92" s="1" t="s">
        <v>91</v>
      </c>
      <c r="C92" s="1">
        <v>2000000</v>
      </c>
      <c r="D92" s="1" t="s">
        <v>91</v>
      </c>
      <c r="E92" s="1" t="s">
        <v>91</v>
      </c>
      <c r="F92" s="1">
        <v>300000</v>
      </c>
      <c r="G92" s="1" t="s">
        <v>91</v>
      </c>
      <c r="H92" s="1" t="s">
        <v>91</v>
      </c>
      <c r="I92" s="1" t="s">
        <v>91</v>
      </c>
      <c r="J92" s="1" t="s">
        <v>91</v>
      </c>
      <c r="K92" s="1" t="s">
        <v>91</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I92" s="52"/>
      <c r="AJ92" s="52"/>
      <c r="AK92" s="52"/>
      <c r="AL92" s="52"/>
      <c r="AM92" s="52"/>
      <c r="AN92" s="52"/>
      <c r="AO92" s="28" t="s">
        <v>129</v>
      </c>
      <c r="AP92" s="54">
        <f>AP90/AP91</f>
        <v>0.12288326278289649</v>
      </c>
    </row>
    <row r="93" spans="1:42" ht="19" customHeight="1" x14ac:dyDescent="0.25">
      <c r="A93" s="5" t="s">
        <v>78</v>
      </c>
      <c r="B93" s="1">
        <v>-100000</v>
      </c>
      <c r="C93" s="1" t="s">
        <v>91</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91</v>
      </c>
      <c r="S93" s="1">
        <v>26298000</v>
      </c>
      <c r="T93" s="1" t="s">
        <v>91</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I93" s="52"/>
      <c r="AJ93" s="52"/>
      <c r="AK93" s="52"/>
      <c r="AL93" s="52"/>
      <c r="AM93" s="52"/>
      <c r="AN93" s="52"/>
      <c r="AO93" s="28" t="s">
        <v>130</v>
      </c>
      <c r="AP93" s="54">
        <f>AP89*(1-AP92)</f>
        <v>2.2690585351800153E-3</v>
      </c>
    </row>
    <row r="94" spans="1:42" ht="20" customHeight="1"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I94" s="52"/>
      <c r="AJ94" s="52"/>
      <c r="AK94" s="52"/>
      <c r="AL94" s="52"/>
      <c r="AM94" s="52"/>
      <c r="AN94" s="52"/>
      <c r="AO94" s="78" t="s">
        <v>131</v>
      </c>
      <c r="AP94" s="78"/>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I95" s="52"/>
      <c r="AJ95" s="52"/>
      <c r="AK95" s="52"/>
      <c r="AL95" s="52"/>
      <c r="AM95" s="52"/>
      <c r="AN95" s="52"/>
      <c r="AO95" s="27" t="s">
        <v>132</v>
      </c>
      <c r="AP95" s="55">
        <f>'[1]US Treasury Bonds'!$C$8</f>
        <v>4.9530000000000005E-2</v>
      </c>
    </row>
    <row r="96" spans="1:42" ht="20" x14ac:dyDescent="0.25">
      <c r="A96" s="5" t="s">
        <v>81</v>
      </c>
      <c r="B96" s="1" t="s">
        <v>91</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I96" s="52"/>
      <c r="AJ96" s="52"/>
      <c r="AK96" s="52"/>
      <c r="AL96" s="52"/>
      <c r="AM96" s="52"/>
      <c r="AN96" s="52"/>
      <c r="AO96" s="29" t="s">
        <v>133</v>
      </c>
      <c r="AP96" s="56" cm="1">
        <f t="array" ref="AP96">_FV(A1,"Beta")</f>
        <v>1.0832999999999999</v>
      </c>
    </row>
    <row r="97" spans="1:42" ht="20" x14ac:dyDescent="0.25">
      <c r="A97" s="5" t="s">
        <v>82</v>
      </c>
      <c r="B97" s="1" t="s">
        <v>91</v>
      </c>
      <c r="C97" s="1" t="s">
        <v>91</v>
      </c>
      <c r="D97" s="1" t="s">
        <v>91</v>
      </c>
      <c r="E97" s="1" t="s">
        <v>91</v>
      </c>
      <c r="F97" s="1" t="s">
        <v>91</v>
      </c>
      <c r="G97" s="1" t="s">
        <v>91</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91</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I97" s="52"/>
      <c r="AJ97" s="52"/>
      <c r="AK97" s="52"/>
      <c r="AL97" s="52"/>
      <c r="AM97" s="52"/>
      <c r="AN97" s="52"/>
      <c r="AO97" s="27" t="s">
        <v>134</v>
      </c>
      <c r="AP97" s="57">
        <v>8.4000000000000005E-2</v>
      </c>
    </row>
    <row r="98" spans="1:42"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v>0</v>
      </c>
      <c r="AI98" s="52"/>
      <c r="AJ98" s="52"/>
      <c r="AK98" s="52"/>
      <c r="AL98" s="52"/>
      <c r="AM98" s="52"/>
      <c r="AN98" s="52"/>
      <c r="AO98" s="28" t="s">
        <v>135</v>
      </c>
      <c r="AP98" s="54">
        <f>(AP95)+((AP96)*(AP97-AP95))</f>
        <v>8.6871350999999999E-2</v>
      </c>
    </row>
    <row r="99" spans="1:42" ht="19" customHeight="1" x14ac:dyDescent="0.25">
      <c r="A99" s="5" t="s">
        <v>84</v>
      </c>
      <c r="B99" s="1">
        <v>-800000</v>
      </c>
      <c r="C99" s="1">
        <v>-1500000</v>
      </c>
      <c r="D99" s="1">
        <v>-10900000</v>
      </c>
      <c r="E99" s="1">
        <v>-1400000</v>
      </c>
      <c r="F99" s="1">
        <v>-400000</v>
      </c>
      <c r="G99" s="1" t="s">
        <v>91</v>
      </c>
      <c r="H99" s="1">
        <v>-5500000</v>
      </c>
      <c r="I99" s="1">
        <v>-10200000</v>
      </c>
      <c r="J99" s="1">
        <v>-7800000</v>
      </c>
      <c r="K99" s="1">
        <v>-12600000</v>
      </c>
      <c r="L99" s="1">
        <v>-13572000</v>
      </c>
      <c r="M99" s="1">
        <v>-6468000</v>
      </c>
      <c r="N99" s="1" t="s">
        <v>91</v>
      </c>
      <c r="O99" s="1" t="s">
        <v>91</v>
      </c>
      <c r="P99" s="1" t="s">
        <v>91</v>
      </c>
      <c r="Q99" s="1" t="s">
        <v>91</v>
      </c>
      <c r="R99" s="1" t="s">
        <v>91</v>
      </c>
      <c r="S99" s="1" t="s">
        <v>91</v>
      </c>
      <c r="T99" s="1">
        <v>-2970000</v>
      </c>
      <c r="U99" s="1">
        <v>1279000</v>
      </c>
      <c r="V99" s="1" t="s">
        <v>91</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I99" s="52"/>
      <c r="AJ99" s="52"/>
      <c r="AK99" s="52"/>
      <c r="AL99" s="52"/>
      <c r="AM99" s="52"/>
      <c r="AN99" s="52"/>
      <c r="AO99" s="78" t="s">
        <v>136</v>
      </c>
      <c r="AP99" s="78"/>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I100" s="52"/>
      <c r="AJ100" s="52"/>
      <c r="AK100" s="52"/>
      <c r="AL100" s="52"/>
      <c r="AM100" s="52"/>
      <c r="AN100" s="52"/>
      <c r="AO100" s="27" t="s">
        <v>137</v>
      </c>
      <c r="AP100" s="53">
        <f>AP87+AP88</f>
        <v>656371000</v>
      </c>
    </row>
    <row r="101" spans="1:42" ht="20" x14ac:dyDescent="0.25">
      <c r="A101" s="5" t="s">
        <v>86</v>
      </c>
      <c r="B101" s="1" t="s">
        <v>91</v>
      </c>
      <c r="C101" s="1" t="s">
        <v>91</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I101" s="52"/>
      <c r="AJ101" s="52"/>
      <c r="AK101" s="52"/>
      <c r="AL101" s="52"/>
      <c r="AM101" s="52"/>
      <c r="AN101" s="52"/>
      <c r="AO101" s="28" t="s">
        <v>138</v>
      </c>
      <c r="AP101" s="54">
        <f>AP100/AP104</f>
        <v>9.4262219392043465E-3</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I102" s="52"/>
      <c r="AJ102" s="52"/>
      <c r="AK102" s="52"/>
      <c r="AL102" s="52"/>
      <c r="AM102" s="52"/>
      <c r="AN102" s="52"/>
      <c r="AO102" s="29" t="s">
        <v>139</v>
      </c>
      <c r="AP102" s="58" cm="1">
        <f t="array" ref="AP102">_FV(A1,"Market cap",TRUE)</f>
        <v>68976086652</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I103" s="52"/>
      <c r="AJ103" s="52"/>
      <c r="AK103" s="52"/>
      <c r="AL103" s="52"/>
      <c r="AM103" s="52"/>
      <c r="AN103" s="52"/>
      <c r="AO103" s="28" t="s">
        <v>140</v>
      </c>
      <c r="AP103" s="54">
        <f>AP102/AP104</f>
        <v>0.99057377806079561</v>
      </c>
    </row>
    <row r="104" spans="1:42" ht="20" customHeight="1" thickBot="1" x14ac:dyDescent="0.3">
      <c r="A104" s="7" t="s">
        <v>89</v>
      </c>
      <c r="B104" s="11" t="s">
        <v>91</v>
      </c>
      <c r="C104" s="11" t="s">
        <v>91</v>
      </c>
      <c r="D104" s="11" t="s">
        <v>91</v>
      </c>
      <c r="E104" s="11" t="s">
        <v>91</v>
      </c>
      <c r="F104" s="11" t="s">
        <v>91</v>
      </c>
      <c r="G104" s="11" t="s">
        <v>91</v>
      </c>
      <c r="H104" s="11" t="s">
        <v>91</v>
      </c>
      <c r="I104" s="11" t="s">
        <v>91</v>
      </c>
      <c r="J104" s="11" t="s">
        <v>91</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I104" s="76" t="s">
        <v>113</v>
      </c>
      <c r="AJ104" s="76"/>
      <c r="AK104" s="76"/>
      <c r="AL104" s="76"/>
      <c r="AM104" s="76"/>
      <c r="AN104" s="52"/>
      <c r="AO104" s="28" t="s">
        <v>141</v>
      </c>
      <c r="AP104" s="59">
        <f>AP100+AP102</f>
        <v>69632457652</v>
      </c>
    </row>
    <row r="105" spans="1:42" ht="21" customHeight="1" thickTop="1" x14ac:dyDescent="0.25">
      <c r="A105" s="14" t="s">
        <v>159</v>
      </c>
      <c r="B105" s="1">
        <f t="shared" ref="B105:AH105" si="10">(B22*(1-$AP$92))+B77+B88-B81</f>
        <v>4373295.3598072277</v>
      </c>
      <c r="C105" s="1">
        <f t="shared" si="10"/>
        <v>6673295.3598072277</v>
      </c>
      <c r="D105" s="1">
        <f t="shared" si="10"/>
        <v>9009725.7407795861</v>
      </c>
      <c r="E105" s="1">
        <f t="shared" si="10"/>
        <v>2942334.7443420701</v>
      </c>
      <c r="F105" s="1">
        <f t="shared" si="10"/>
        <v>30839772.158843368</v>
      </c>
      <c r="G105" s="1">
        <f t="shared" si="10"/>
        <v>38310070.335289381</v>
      </c>
      <c r="H105" s="1">
        <f t="shared" si="10"/>
        <v>41670208.173093289</v>
      </c>
      <c r="I105" s="1">
        <f t="shared" si="10"/>
        <v>73767165.988055721</v>
      </c>
      <c r="J105" s="1">
        <f t="shared" si="10"/>
        <v>122237374.16114902</v>
      </c>
      <c r="K105" s="1">
        <f t="shared" si="10"/>
        <v>161448703.28834957</v>
      </c>
      <c r="L105" s="1">
        <f t="shared" si="10"/>
        <v>67247622.457450092</v>
      </c>
      <c r="M105" s="1">
        <f t="shared" si="10"/>
        <v>-287795156.30104148</v>
      </c>
      <c r="N105" s="1">
        <f t="shared" si="10"/>
        <v>93177615.016933903</v>
      </c>
      <c r="O105" s="1">
        <f t="shared" si="10"/>
        <v>302005437.66729957</v>
      </c>
      <c r="P105" s="1">
        <f t="shared" si="10"/>
        <v>198377558.50128281</v>
      </c>
      <c r="Q105" s="1">
        <f t="shared" si="10"/>
        <v>-43354153.20471102</v>
      </c>
      <c r="R105" s="1">
        <f t="shared" si="10"/>
        <v>62801299.809773803</v>
      </c>
      <c r="S105" s="1">
        <f t="shared" si="10"/>
        <v>32602368.128055751</v>
      </c>
      <c r="T105" s="1">
        <f t="shared" si="10"/>
        <v>246575802.52511394</v>
      </c>
      <c r="U105" s="1">
        <f t="shared" si="10"/>
        <v>368868437.64219904</v>
      </c>
      <c r="V105" s="1">
        <f t="shared" si="10"/>
        <v>314609962.48904091</v>
      </c>
      <c r="W105" s="1">
        <f t="shared" si="10"/>
        <v>247304157.69949996</v>
      </c>
      <c r="X105" s="1">
        <f t="shared" si="10"/>
        <v>210316230.87294286</v>
      </c>
      <c r="Y105" s="1">
        <f t="shared" si="10"/>
        <v>342716135.90685546</v>
      </c>
      <c r="Z105" s="1">
        <f t="shared" si="10"/>
        <v>262792843.53042632</v>
      </c>
      <c r="AA105" s="1">
        <f t="shared" si="10"/>
        <v>421401788.49929273</v>
      </c>
      <c r="AB105" s="1">
        <f t="shared" si="10"/>
        <v>390216466.80902255</v>
      </c>
      <c r="AC105" s="1">
        <f t="shared" si="10"/>
        <v>350210324.53738815</v>
      </c>
      <c r="AD105" s="1">
        <f t="shared" si="10"/>
        <v>576680376.66403103</v>
      </c>
      <c r="AE105" s="1">
        <f t="shared" si="10"/>
        <v>536128317.31919098</v>
      </c>
      <c r="AF105" s="1">
        <f t="shared" si="10"/>
        <v>787663050.53455174</v>
      </c>
      <c r="AG105" s="1">
        <f t="shared" si="10"/>
        <v>624227607.33975542</v>
      </c>
      <c r="AH105" s="1">
        <f t="shared" si="10"/>
        <v>1170393979.0822885</v>
      </c>
      <c r="AI105" s="50">
        <f>AI107/AI3</f>
        <v>0.315653964984552</v>
      </c>
      <c r="AJ105" s="50">
        <f>AJ107/AJ3</f>
        <v>0.32301829268292681</v>
      </c>
      <c r="AK105" s="50">
        <f>AK107/AK3</f>
        <v>0.33708474576271186</v>
      </c>
      <c r="AL105" s="50">
        <f>AL107/AL3</f>
        <v>0.37494067394399622</v>
      </c>
      <c r="AM105" s="50">
        <f>AM107/AM3</f>
        <v>0.38730293992330633</v>
      </c>
      <c r="AN105" s="51" t="s">
        <v>164</v>
      </c>
      <c r="AO105" s="78" t="s">
        <v>142</v>
      </c>
      <c r="AP105" s="78"/>
    </row>
    <row r="106" spans="1:42" ht="20" x14ac:dyDescent="0.25">
      <c r="A106" s="14" t="s">
        <v>160</v>
      </c>
      <c r="B106" s="1"/>
      <c r="C106" s="15">
        <f t="shared" ref="C106:AH106" si="11">(C107/B107)-1</f>
        <v>-0.55102040816326525</v>
      </c>
      <c r="D106" s="15">
        <f t="shared" si="11"/>
        <v>4.9090909090909092</v>
      </c>
      <c r="E106" s="15">
        <f t="shared" si="11"/>
        <v>1.8846153846153846</v>
      </c>
      <c r="F106" s="15">
        <f t="shared" si="11"/>
        <v>0.1253333333333333</v>
      </c>
      <c r="G106" s="15">
        <f t="shared" si="11"/>
        <v>0.32227488151658767</v>
      </c>
      <c r="H106" s="15">
        <f t="shared" si="11"/>
        <v>-0.12186379928315416</v>
      </c>
      <c r="I106" s="15">
        <f t="shared" si="11"/>
        <v>0.12448979591836729</v>
      </c>
      <c r="J106" s="15">
        <f t="shared" si="11"/>
        <v>1.0889292196007316E-2</v>
      </c>
      <c r="K106" s="15">
        <f t="shared" si="11"/>
        <v>0.99281867145421909</v>
      </c>
      <c r="L106" s="15">
        <f t="shared" si="11"/>
        <v>-0.25572072072072072</v>
      </c>
      <c r="M106" s="15">
        <f t="shared" si="11"/>
        <v>1.5822913514494945</v>
      </c>
      <c r="N106" s="15">
        <f t="shared" si="11"/>
        <v>-2.0771927850901863</v>
      </c>
      <c r="O106" s="15">
        <f t="shared" si="11"/>
        <v>-2.4855529059546395</v>
      </c>
      <c r="P106" s="15">
        <f t="shared" si="11"/>
        <v>-0.35840368380660015</v>
      </c>
      <c r="Q106" s="15">
        <f t="shared" si="11"/>
        <v>3.0109755652142134E-2</v>
      </c>
      <c r="R106" s="15">
        <f t="shared" si="11"/>
        <v>-0.31531687253741791</v>
      </c>
      <c r="S106" s="15">
        <f t="shared" si="11"/>
        <v>1.4998802457228302</v>
      </c>
      <c r="T106" s="15">
        <f t="shared" si="11"/>
        <v>-0.25076840614310614</v>
      </c>
      <c r="U106" s="15">
        <f t="shared" si="11"/>
        <v>-0.31877862067773766</v>
      </c>
      <c r="V106" s="15">
        <f t="shared" si="11"/>
        <v>0.5167370172697201</v>
      </c>
      <c r="W106" s="15">
        <f t="shared" si="11"/>
        <v>0.27135646455557749</v>
      </c>
      <c r="X106" s="15">
        <f t="shared" si="11"/>
        <v>0.12757375962282214</v>
      </c>
      <c r="Y106" s="15">
        <f t="shared" si="11"/>
        <v>-2.1886484279297624E-3</v>
      </c>
      <c r="Z106" s="15">
        <f t="shared" si="11"/>
        <v>3.8357298362863723E-2</v>
      </c>
      <c r="AA106" s="15">
        <f t="shared" si="11"/>
        <v>-8.9016755247275037E-2</v>
      </c>
      <c r="AB106" s="15">
        <f t="shared" si="11"/>
        <v>0.27460674935045359</v>
      </c>
      <c r="AC106" s="15">
        <f t="shared" si="11"/>
        <v>8.8084640076028675E-2</v>
      </c>
      <c r="AD106" s="15">
        <f t="shared" si="11"/>
        <v>-0.4254907657782111</v>
      </c>
      <c r="AE106" s="15">
        <f t="shared" si="11"/>
        <v>0.85576750044988303</v>
      </c>
      <c r="AF106" s="15">
        <f t="shared" si="11"/>
        <v>0.39193479623824445</v>
      </c>
      <c r="AG106" s="15">
        <f t="shared" si="11"/>
        <v>0.67783355013686841</v>
      </c>
      <c r="AH106" s="15">
        <f t="shared" si="11"/>
        <v>0.14527784021842938</v>
      </c>
      <c r="AI106" s="45">
        <f>(AI107/AH107)-1</f>
        <v>0.1495057562797768</v>
      </c>
      <c r="AJ106" s="45">
        <f>(AJ107/AI107)-1</f>
        <v>0.15225666122892867</v>
      </c>
      <c r="AK106" s="45">
        <f>(AK107/AJ107)-1</f>
        <v>0.17319490325625297</v>
      </c>
      <c r="AL106" s="45">
        <f>(AL107/AK107)-1</f>
        <v>0.27111826226870472</v>
      </c>
      <c r="AM106" s="45">
        <f>(AM107/AL107)-1</f>
        <v>0.15063291139240498</v>
      </c>
      <c r="AN106" s="46">
        <f>SUM(AI106:AM106)/5</f>
        <v>0.17934169888521362</v>
      </c>
      <c r="AO106" s="30" t="s">
        <v>106</v>
      </c>
      <c r="AP106" s="60">
        <f>(AP101*AP93)+(AP103*AP98)</f>
        <v>8.607387101466113E-2</v>
      </c>
    </row>
    <row r="107" spans="1:42" ht="19" x14ac:dyDescent="0.25">
      <c r="A107" s="42" t="s">
        <v>161</v>
      </c>
      <c r="B107" s="1">
        <v>4900000</v>
      </c>
      <c r="C107" s="1">
        <v>2200000</v>
      </c>
      <c r="D107" s="1">
        <v>13000000</v>
      </c>
      <c r="E107" s="1">
        <v>37500000</v>
      </c>
      <c r="F107" s="1">
        <v>42200000</v>
      </c>
      <c r="G107" s="1">
        <v>55800000</v>
      </c>
      <c r="H107" s="1">
        <v>49000000</v>
      </c>
      <c r="I107" s="1">
        <v>55100000</v>
      </c>
      <c r="J107" s="1">
        <v>55700000</v>
      </c>
      <c r="K107" s="1">
        <v>111000000</v>
      </c>
      <c r="L107" s="1">
        <v>82615000</v>
      </c>
      <c r="M107" s="1">
        <v>213336000</v>
      </c>
      <c r="N107" s="1">
        <v>-229804000</v>
      </c>
      <c r="O107" s="1">
        <v>341386000</v>
      </c>
      <c r="P107" s="1">
        <v>219032000</v>
      </c>
      <c r="Q107" s="1">
        <v>225627000</v>
      </c>
      <c r="R107" s="1">
        <v>154483000</v>
      </c>
      <c r="S107" s="1">
        <v>386189000</v>
      </c>
      <c r="T107" s="1">
        <v>289345000</v>
      </c>
      <c r="U107" s="1">
        <v>197108000</v>
      </c>
      <c r="V107" s="1">
        <v>298961000</v>
      </c>
      <c r="W107" s="1">
        <v>380086000</v>
      </c>
      <c r="X107" s="1">
        <v>428575000</v>
      </c>
      <c r="Y107" s="1">
        <v>427637000</v>
      </c>
      <c r="Z107" s="1">
        <v>444040000</v>
      </c>
      <c r="AA107" s="1">
        <v>404513000</v>
      </c>
      <c r="AB107" s="1">
        <v>515595000</v>
      </c>
      <c r="AC107" s="1">
        <v>561011000</v>
      </c>
      <c r="AD107" s="1">
        <v>322306000</v>
      </c>
      <c r="AE107" s="1">
        <v>598125000</v>
      </c>
      <c r="AF107" s="1">
        <v>832551000</v>
      </c>
      <c r="AG107" s="1">
        <v>1396882000</v>
      </c>
      <c r="AH107" s="1">
        <v>1599818000</v>
      </c>
      <c r="AI107" s="61">
        <v>1839000000</v>
      </c>
      <c r="AJ107" s="61">
        <v>2119000000</v>
      </c>
      <c r="AK107" s="61">
        <v>2486000000</v>
      </c>
      <c r="AL107" s="61">
        <v>3160000000</v>
      </c>
      <c r="AM107" s="61">
        <v>3636000000</v>
      </c>
      <c r="AN107" s="62" t="s">
        <v>162</v>
      </c>
      <c r="AO107" s="44" t="s">
        <v>163</v>
      </c>
      <c r="AP107" s="31">
        <f>(SUM(AI4:AM4)/5)</f>
        <v>0.13068256580561441</v>
      </c>
    </row>
    <row r="108" spans="1:42" ht="19" x14ac:dyDescent="0.2">
      <c r="AI108" s="63"/>
      <c r="AJ108" s="63"/>
      <c r="AK108" s="63"/>
      <c r="AL108" s="63"/>
      <c r="AM108" s="64">
        <f>AM107*(1+AP108)/(AP109-AP108)</f>
        <v>61022822658.56926</v>
      </c>
      <c r="AN108" s="65" t="s">
        <v>143</v>
      </c>
      <c r="AO108" s="66" t="s">
        <v>144</v>
      </c>
      <c r="AP108" s="32">
        <v>2.5000000000000001E-2</v>
      </c>
    </row>
    <row r="109" spans="1:42" ht="19" x14ac:dyDescent="0.2">
      <c r="AI109" s="64">
        <f t="shared" ref="AI109:AK109" si="12">AI108+AI107</f>
        <v>1839000000</v>
      </c>
      <c r="AJ109" s="64">
        <f t="shared" si="12"/>
        <v>2119000000</v>
      </c>
      <c r="AK109" s="64">
        <f t="shared" si="12"/>
        <v>2486000000</v>
      </c>
      <c r="AL109" s="64">
        <f>AL108+AL107</f>
        <v>3160000000</v>
      </c>
      <c r="AM109" s="64">
        <f>AM108+AM107</f>
        <v>64658822658.56926</v>
      </c>
      <c r="AN109" s="65" t="s">
        <v>141</v>
      </c>
      <c r="AO109" s="67" t="s">
        <v>145</v>
      </c>
      <c r="AP109" s="31">
        <f>AP106</f>
        <v>8.607387101466113E-2</v>
      </c>
    </row>
    <row r="110" spans="1:42" ht="19" x14ac:dyDescent="0.2">
      <c r="AI110" s="77" t="s">
        <v>146</v>
      </c>
      <c r="AJ110" s="77"/>
      <c r="AK110" s="52"/>
      <c r="AL110" s="52"/>
      <c r="AM110" s="52"/>
      <c r="AN110" s="52"/>
      <c r="AO110" s="52"/>
      <c r="AP110" s="52"/>
    </row>
    <row r="111" spans="1:42" ht="20" x14ac:dyDescent="0.2">
      <c r="AI111" s="68" t="s">
        <v>147</v>
      </c>
      <c r="AJ111" s="58">
        <f>NPV(AP109,AI109,AJ109,AK109,AL109,AM109)</f>
        <v>50490289303.406876</v>
      </c>
      <c r="AK111" s="52"/>
      <c r="AL111" s="52"/>
      <c r="AM111" s="52"/>
      <c r="AN111" s="52"/>
      <c r="AO111" s="52"/>
      <c r="AP111" s="52"/>
    </row>
    <row r="112" spans="1:42" ht="20" x14ac:dyDescent="0.2">
      <c r="AI112" s="68" t="s">
        <v>148</v>
      </c>
      <c r="AJ112" s="58">
        <f>AH40</f>
        <v>1565521000</v>
      </c>
      <c r="AK112" s="52"/>
      <c r="AL112" s="52"/>
      <c r="AM112" s="52"/>
      <c r="AN112" s="52"/>
      <c r="AO112" s="52"/>
      <c r="AP112" s="52"/>
    </row>
    <row r="113" spans="35:42" ht="20" x14ac:dyDescent="0.2">
      <c r="AI113" s="68" t="s">
        <v>137</v>
      </c>
      <c r="AJ113" s="58">
        <f>AP100</f>
        <v>656371000</v>
      </c>
      <c r="AK113" s="52"/>
      <c r="AL113" s="52"/>
      <c r="AM113" s="52"/>
      <c r="AN113" s="52"/>
      <c r="AO113" s="52"/>
      <c r="AP113" s="52"/>
    </row>
    <row r="114" spans="35:42" ht="20" x14ac:dyDescent="0.2">
      <c r="AI114" s="68" t="s">
        <v>149</v>
      </c>
      <c r="AJ114" s="58">
        <f>AJ111+AJ112-AJ113</f>
        <v>51399439303.406876</v>
      </c>
      <c r="AK114" s="52"/>
      <c r="AL114" s="52"/>
      <c r="AM114" s="52"/>
      <c r="AN114" s="52"/>
      <c r="AO114" s="52"/>
      <c r="AP114" s="52"/>
    </row>
    <row r="115" spans="35:42" ht="20" x14ac:dyDescent="0.2">
      <c r="AI115" s="68" t="s">
        <v>150</v>
      </c>
      <c r="AJ115" s="68">
        <f>AH34*(1+(5*AN16))</f>
        <v>158132045.63753816</v>
      </c>
      <c r="AK115" s="52"/>
      <c r="AL115" s="52"/>
      <c r="AM115" s="52"/>
      <c r="AN115" s="52"/>
      <c r="AO115" s="52"/>
      <c r="AP115" s="52"/>
    </row>
    <row r="116" spans="35:42" ht="20" x14ac:dyDescent="0.2">
      <c r="AI116" s="69" t="s">
        <v>151</v>
      </c>
      <c r="AJ116" s="70">
        <f>AJ114/AJ115</f>
        <v>325.04125963956682</v>
      </c>
      <c r="AK116" s="52"/>
      <c r="AL116" s="52"/>
      <c r="AM116" s="52"/>
      <c r="AN116" s="52"/>
      <c r="AO116" s="52"/>
      <c r="AP116" s="52"/>
    </row>
    <row r="117" spans="35:42" ht="20" x14ac:dyDescent="0.2">
      <c r="AI117" s="68" t="s">
        <v>152</v>
      </c>
      <c r="AJ117" s="71" cm="1">
        <f t="array" ref="AJ117">_FV(A1,"Price")</f>
        <v>453.54</v>
      </c>
      <c r="AK117" s="52"/>
      <c r="AL117" s="52"/>
      <c r="AM117" s="52"/>
      <c r="AN117" s="52"/>
      <c r="AO117" s="52"/>
      <c r="AP117" s="52"/>
    </row>
    <row r="118" spans="35:42" ht="20" x14ac:dyDescent="0.2">
      <c r="AI118" s="69" t="s">
        <v>153</v>
      </c>
      <c r="AJ118" s="72">
        <f>AJ116/AJ117-1</f>
        <v>-0.28332394135122196</v>
      </c>
      <c r="AK118" s="52"/>
      <c r="AL118" s="52"/>
      <c r="AM118" s="52"/>
      <c r="AN118" s="52"/>
      <c r="AO118" s="52"/>
      <c r="AP118" s="52"/>
    </row>
    <row r="119" spans="35:42" ht="20" x14ac:dyDescent="0.2">
      <c r="AI119" s="69" t="s">
        <v>154</v>
      </c>
      <c r="AJ119" s="73" t="str">
        <f>IF(AJ116&gt;AJ117,"BUY","SELL")</f>
        <v>SELL</v>
      </c>
      <c r="AK119" s="52"/>
      <c r="AL119" s="52"/>
      <c r="AM119" s="52"/>
      <c r="AN119" s="52"/>
      <c r="AO119" s="52"/>
      <c r="AP119" s="52"/>
    </row>
  </sheetData>
  <mergeCells count="7">
    <mergeCell ref="AO84:AP84"/>
    <mergeCell ref="AI104:AM104"/>
    <mergeCell ref="AI110:AJ110"/>
    <mergeCell ref="AO85:AP85"/>
    <mergeCell ref="AO94:AP94"/>
    <mergeCell ref="AO99:AP99"/>
    <mergeCell ref="AO105:AP105"/>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 ref="AN107" r:id="rId69" xr:uid="{7A5298CD-54F2-9B4E-9E63-193A599E5499}"/>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2023-03-12T17:33:24Z</dcterms:created>
  <dcterms:modified xsi:type="dcterms:W3CDTF">2023-10-27T09:46:25Z</dcterms:modified>
</cp:coreProperties>
</file>