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CA5912B-28A4-F345-BB64-77872B7A4BE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5" i="1" l="1"/>
  <c r="P105" i="1"/>
  <c r="O105" i="1"/>
  <c r="N105" i="1"/>
  <c r="M105" i="1"/>
  <c r="T95" i="1"/>
  <c r="L6" i="1"/>
  <c r="T7" i="1"/>
  <c r="S7" i="1"/>
  <c r="R7" i="1"/>
  <c r="L34" i="1" a="1"/>
  <c r="L34" i="1" s="1"/>
  <c r="L35" i="1" s="1"/>
  <c r="R16" i="1" s="1"/>
  <c r="L33" i="1" a="1"/>
  <c r="L33" i="1" s="1"/>
  <c r="S22" i="1" l="1"/>
  <c r="Q106" i="1" l="1"/>
  <c r="P106" i="1"/>
  <c r="O106" i="1"/>
  <c r="N106" i="1"/>
  <c r="M106" i="1"/>
  <c r="N117" i="1" a="1"/>
  <c r="N117" i="1" s="1"/>
  <c r="U7" i="1"/>
  <c r="N115" i="1"/>
  <c r="C105" i="1"/>
  <c r="D105" i="1"/>
  <c r="E105" i="1"/>
  <c r="F105" i="1"/>
  <c r="G105" i="1"/>
  <c r="H105" i="1"/>
  <c r="I105" i="1"/>
  <c r="J105" i="1"/>
  <c r="K105" i="1"/>
  <c r="R106" i="1" l="1"/>
  <c r="N30" i="1"/>
  <c r="O30" i="1"/>
  <c r="P30" i="1"/>
  <c r="Q30" i="1"/>
  <c r="M30" i="1"/>
  <c r="L30" i="1"/>
  <c r="L29" i="1"/>
  <c r="M29" i="1"/>
  <c r="N29" i="1"/>
  <c r="O29" i="1"/>
  <c r="P29" i="1"/>
  <c r="Q29" i="1"/>
  <c r="M20" i="1"/>
  <c r="N20" i="1"/>
  <c r="O20" i="1"/>
  <c r="P20" i="1"/>
  <c r="Q20" i="1"/>
  <c r="M21" i="1"/>
  <c r="N21" i="1"/>
  <c r="O21" i="1"/>
  <c r="P21" i="1"/>
  <c r="Q21" i="1"/>
  <c r="M4" i="1"/>
  <c r="L106" i="1"/>
  <c r="L21" i="1"/>
  <c r="L4" i="1"/>
  <c r="L20" i="1"/>
  <c r="T86" i="1"/>
  <c r="T102" i="1" a="1"/>
  <c r="T102" i="1" s="1"/>
  <c r="U22" i="1" s="1"/>
  <c r="T96" i="1" a="1"/>
  <c r="T96" i="1" s="1"/>
  <c r="N112" i="1"/>
  <c r="T91" i="1"/>
  <c r="T90" i="1"/>
  <c r="T92" i="1" s="1"/>
  <c r="T88" i="1"/>
  <c r="T87" i="1"/>
  <c r="R19" i="1"/>
  <c r="U13" i="1"/>
  <c r="T13" i="1"/>
  <c r="S13" i="1"/>
  <c r="R13" i="1"/>
  <c r="Q4" i="1"/>
  <c r="P4" i="1"/>
  <c r="O4" i="1"/>
  <c r="N4" i="1"/>
  <c r="AU105" i="1"/>
  <c r="K106" i="1"/>
  <c r="J106" i="1"/>
  <c r="I106" i="1"/>
  <c r="H106" i="1"/>
  <c r="G106" i="1"/>
  <c r="F106" i="1"/>
  <c r="E106" i="1"/>
  <c r="D106" i="1"/>
  <c r="C106" i="1"/>
  <c r="AU89" i="1"/>
  <c r="K89" i="1"/>
  <c r="U10" i="1" s="1"/>
  <c r="J89" i="1"/>
  <c r="I89" i="1"/>
  <c r="H89" i="1"/>
  <c r="G89" i="1"/>
  <c r="F89" i="1"/>
  <c r="E89" i="1"/>
  <c r="D89" i="1"/>
  <c r="C89" i="1"/>
  <c r="B89" i="1"/>
  <c r="K80" i="1"/>
  <c r="T10" i="1" s="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S10" i="1" s="1"/>
  <c r="J13" i="1"/>
  <c r="I13" i="1"/>
  <c r="H13" i="1"/>
  <c r="G13" i="1"/>
  <c r="F13" i="1"/>
  <c r="E13" i="1"/>
  <c r="D13" i="1"/>
  <c r="C13" i="1"/>
  <c r="B13" i="1"/>
  <c r="K9" i="1"/>
  <c r="R10" i="1" s="1"/>
  <c r="J9" i="1"/>
  <c r="I9" i="1"/>
  <c r="H9" i="1"/>
  <c r="G9" i="1"/>
  <c r="F9" i="1"/>
  <c r="E9" i="1"/>
  <c r="D9" i="1"/>
  <c r="C9" i="1"/>
  <c r="B9" i="1"/>
  <c r="K4" i="1"/>
  <c r="J4" i="1"/>
  <c r="I4" i="1"/>
  <c r="H4" i="1"/>
  <c r="G4" i="1"/>
  <c r="F4" i="1"/>
  <c r="E4" i="1"/>
  <c r="D4" i="1"/>
  <c r="C4" i="1"/>
  <c r="T19" i="1" l="1"/>
  <c r="T16" i="1"/>
  <c r="U16" i="1"/>
  <c r="T22" i="1"/>
  <c r="T100" i="1"/>
  <c r="N113" i="1" s="1"/>
  <c r="R4" i="1"/>
  <c r="S19" i="1"/>
  <c r="T4" i="1"/>
  <c r="S4" i="1"/>
  <c r="U4" i="1"/>
  <c r="S16" i="1"/>
  <c r="T89" i="1"/>
  <c r="T93" i="1" s="1"/>
  <c r="T107" i="1"/>
  <c r="T104" i="1"/>
  <c r="T101" i="1" s="1"/>
  <c r="T103" i="1" l="1"/>
  <c r="U19" i="1" l="1"/>
  <c r="M109" i="1"/>
  <c r="N109" i="1"/>
  <c r="O109" i="1"/>
  <c r="P109" i="1" l="1"/>
  <c r="T98" i="1" l="1"/>
  <c r="T106" i="1" s="1"/>
  <c r="T109" i="1" s="1"/>
  <c r="Q108" i="1" s="1"/>
  <c r="Q109" i="1" s="1"/>
  <c r="N111" i="1" s="1"/>
  <c r="N114" i="1" s="1"/>
  <c r="N116" i="1" s="1"/>
  <c r="N118" i="1" l="1"/>
  <c r="N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<sst xmlns="http://schemas.openxmlformats.org/spreadsheetml/2006/main" count="422" uniqueCount="168">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</sst>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4">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9" fontId="8" fillId="0" borderId="0" applyFont="0" applyFill="0" applyBorder="0" applyAlignment="0" applyProtection="0"/>
  </cellStyleXfs>
  <cellXfs count="8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4" fontId="6"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6" fillId="0" borderId="13" xfId="0" applyNumberFormat="1" applyFont="1" applyBorder="1"/>
    <xf numFmtId="164" fontId="13" fillId="0" borderId="3" xfId="0" applyNumberFormat="1" applyFont="1" applyBorder="1"/>
    <xf numFmtId="165" fontId="10" fillId="0" borderId="0" xfId="0" applyNumberFormat="1" applyFont="1"/>
    <xf numFmtId="165" fontId="10" fillId="0" borderId="12" xfId="0" applyNumberFormat="1" applyFont="1" applyBorder="1"/>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4" borderId="0" xfId="0" applyFill="1" applyAlignment="1">
      <alignment vertical="center"/>
    </xf>
    <xf numFmtId="0" fontId="0" fillId="0" borderId="0" xfId="0"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Twilio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639669421487586E-2"/>
          <c:y val="0.14312577142586708"/>
          <c:w val="0.84953388429752075"/>
          <c:h val="0.629087180961544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1'!$B$1:$Q$1</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'Sheet 1'!$B$3:$Q$3</c:f>
              <c:numCache>
                <c:formatCode>#,###,,;\(#,###,,\);\ \-\ \-</c:formatCode>
                <c:ptCount val="16"/>
                <c:pt idx="0">
                  <c:v>49920000</c:v>
                </c:pt>
                <c:pt idx="1">
                  <c:v>88846000</c:v>
                </c:pt>
                <c:pt idx="2">
                  <c:v>166919000</c:v>
                </c:pt>
                <c:pt idx="3">
                  <c:v>277335000</c:v>
                </c:pt>
                <c:pt idx="4">
                  <c:v>399020000</c:v>
                </c:pt>
                <c:pt idx="5">
                  <c:v>650067000</c:v>
                </c:pt>
                <c:pt idx="6">
                  <c:v>1134468000</c:v>
                </c:pt>
                <c:pt idx="7">
                  <c:v>1761776000</c:v>
                </c:pt>
                <c:pt idx="8">
                  <c:v>2841839000</c:v>
                </c:pt>
                <c:pt idx="9">
                  <c:v>3826321000</c:v>
                </c:pt>
                <c:pt idx="10">
                  <c:v>4062000000</c:v>
                </c:pt>
                <c:pt idx="11">
                  <c:v>4403000000</c:v>
                </c:pt>
                <c:pt idx="12">
                  <c:v>5126000000</c:v>
                </c:pt>
                <c:pt idx="13">
                  <c:v>5410000000</c:v>
                </c:pt>
                <c:pt idx="14">
                  <c:v>5951000000</c:v>
                </c:pt>
                <c:pt idx="15">
                  <c:v>6397000000</c:v>
                </c:pt>
              </c:numCache>
            </c:numRef>
          </c:val>
          <c:extLst>
            <c:ext xmlns:c16="http://schemas.microsoft.com/office/drawing/2014/chart" uri="{C3380CC4-5D6E-409C-BE32-E72D297353CC}">
              <c16:uniqueId val="{00000000-ED54-A045-ABB7-FF774DFD93D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1'!$B$1:$Q$1</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'Sheet 1'!$B$28:$Q$28</c:f>
              <c:numCache>
                <c:formatCode>#,###,,;\(#,###,,\);\ \-\ \-</c:formatCode>
                <c:ptCount val="16"/>
                <c:pt idx="0">
                  <c:v>-26854000</c:v>
                </c:pt>
                <c:pt idx="1">
                  <c:v>-26758000</c:v>
                </c:pt>
                <c:pt idx="2">
                  <c:v>-35504000</c:v>
                </c:pt>
                <c:pt idx="3">
                  <c:v>-41324000</c:v>
                </c:pt>
                <c:pt idx="4">
                  <c:v>-63708000</c:v>
                </c:pt>
                <c:pt idx="5">
                  <c:v>-121949000</c:v>
                </c:pt>
                <c:pt idx="6">
                  <c:v>-307063000</c:v>
                </c:pt>
                <c:pt idx="7">
                  <c:v>-490979000</c:v>
                </c:pt>
                <c:pt idx="8">
                  <c:v>-949900000</c:v>
                </c:pt>
                <c:pt idx="9">
                  <c:v>-1256145000</c:v>
                </c:pt>
                <c:pt idx="10">
                  <c:v>319000000</c:v>
                </c:pt>
                <c:pt idx="11">
                  <c:v>378000000</c:v>
                </c:pt>
                <c:pt idx="12">
                  <c:v>564000000</c:v>
                </c:pt>
                <c:pt idx="13">
                  <c:v>821000000</c:v>
                </c:pt>
                <c:pt idx="14">
                  <c:v>1043000000</c:v>
                </c:pt>
                <c:pt idx="15">
                  <c:v>1318000000</c:v>
                </c:pt>
              </c:numCache>
            </c:numRef>
          </c:val>
          <c:extLst>
            <c:ext xmlns:c16="http://schemas.microsoft.com/office/drawing/2014/chart" uri="{C3380CC4-5D6E-409C-BE32-E72D297353CC}">
              <c16:uniqueId val="{00000001-ED54-A045-ABB7-FF774DFD93D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1'!$B$1:$Q$1</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'Sheet 1'!$B$107:$Q$107</c:f>
              <c:numCache>
                <c:formatCode>#,###,,;\(#,###,,\);\ \-\ \-</c:formatCode>
                <c:ptCount val="16"/>
                <c:pt idx="0">
                  <c:v>-26074000</c:v>
                </c:pt>
                <c:pt idx="1">
                  <c:v>-22530000</c:v>
                </c:pt>
                <c:pt idx="2">
                  <c:v>-29380000</c:v>
                </c:pt>
                <c:pt idx="3">
                  <c:v>-16395000</c:v>
                </c:pt>
                <c:pt idx="4">
                  <c:v>-30078000</c:v>
                </c:pt>
                <c:pt idx="5">
                  <c:v>-16672000</c:v>
                </c:pt>
                <c:pt idx="6">
                  <c:v>-53242000</c:v>
                </c:pt>
                <c:pt idx="7">
                  <c:v>-26479000</c:v>
                </c:pt>
                <c:pt idx="8">
                  <c:v>-148213000</c:v>
                </c:pt>
                <c:pt idx="9">
                  <c:v>-300129000</c:v>
                </c:pt>
                <c:pt idx="10">
                  <c:v>531000000</c:v>
                </c:pt>
                <c:pt idx="11">
                  <c:v>643000000</c:v>
                </c:pt>
                <c:pt idx="12">
                  <c:v>818000000</c:v>
                </c:pt>
                <c:pt idx="13">
                  <c:v>1182000000</c:v>
                </c:pt>
                <c:pt idx="14">
                  <c:v>1471000000</c:v>
                </c:pt>
                <c:pt idx="15">
                  <c:v>1650000000</c:v>
                </c:pt>
              </c:numCache>
            </c:numRef>
          </c:val>
          <c:extLst>
            <c:ext xmlns:c16="http://schemas.microsoft.com/office/drawing/2014/chart" uri="{C3380CC4-5D6E-409C-BE32-E72D297353CC}">
              <c16:uniqueId val="{00000002-ED54-A045-ABB7-FF774DFD93DE}"/>
            </c:ext>
          </c:extLst>
        </c:ser>
        <c:dLbls>
          <c:showLegendKey val="0"/>
          <c:showVal val="0"/>
          <c:showCatName val="0"/>
          <c:showSerName val="0"/>
          <c:showPercent val="0"/>
          <c:showBubbleSize val="0"/>
        </c:dLbls>
        <c:gapWidth val="100"/>
        <c:overlap val="-24"/>
        <c:axId val="890336271"/>
        <c:axId val="890337055"/>
      </c:barChart>
      <c:catAx>
        <c:axId val="8903362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0337055"/>
        <c:crosses val="autoZero"/>
        <c:auto val="1"/>
        <c:lblAlgn val="ctr"/>
        <c:lblOffset val="100"/>
        <c:noMultiLvlLbl val="0"/>
      </c:catAx>
      <c:valAx>
        <c:axId val="89033705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0336271"/>
        <c:crosses val="autoZero"/>
        <c:crossBetween val="between"/>
      </c:valAx>
      <c:spPr>
        <a:noFill/>
        <a:ln>
          <a:noFill/>
        </a:ln>
        <a:effectLst/>
      </c:spPr>
    </c:plotArea>
    <c:legend>
      <c:legendPos val="b"/>
      <c:layout>
        <c:manualLayout>
          <c:xMode val="edge"/>
          <c:yMode val="edge"/>
          <c:x val="0.34443209474848702"/>
          <c:y val="0.89875931563563971"/>
          <c:w val="0.31378033448298304"/>
          <c:h val="6.58851154067016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31749</xdr:colOff>
      <xdr:row>109</xdr:row>
      <xdr:rowOff>33337</xdr:rowOff>
    </xdr:from>
    <xdr:to>
      <xdr:col>20</xdr:col>
      <xdr:colOff>15874</xdr:colOff>
      <xdr:row>126</xdr:row>
      <xdr:rowOff>15874</xdr:rowOff>
    </xdr:to>
    <xdr:graphicFrame macro="">
      <xdr:nvGraphicFramePr>
        <xdr:cNvPr id="3" name="Chart 2">
          <a:extLst>
            <a:ext uri="{FF2B5EF4-FFF2-40B4-BE49-F238E27FC236}">
              <a16:creationId xmlns:a16="http://schemas.microsoft.com/office/drawing/2014/main" id="{B2FCB083-E87A-784D-028F-B72A61CDBA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79.7</v>
    <v>41</v>
    <v>1.3469</v>
    <v>-0.56000000000000005</v>
    <v>-1.1033999999999999E-2</v>
    <v>0.11</v>
    <v>2.1919999999999999E-3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51.23</v>
    <v>Software &amp; IT Services</v>
    <v>Stock</v>
    <v>45226.997468957816</v>
    <v>0</v>
    <v>50.03</v>
    <v>9090237000</v>
    <v>TWILIO INC.</v>
    <v>TWILIO INC.</v>
    <v>50.96</v>
    <v>50.75</v>
    <v>50.19</v>
    <v>50.3</v>
    <v>181116500</v>
    <v>TWLO</v>
    <v>TWILIO INC. (XNYS:TWLO)</v>
    <v>1250502</v>
    <v>1896191</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7669/000104746917000800/0001047469-17-000800-index.html" TargetMode="External"/><Relationship Id="rId13" Type="http://schemas.openxmlformats.org/officeDocument/2006/relationships/hyperlink" Target="https://www.sec.gov/Archives/edgar/data/1447669/000104746919000807/0001047469-19-000807-index.html" TargetMode="External"/><Relationship Id="rId18" Type="http://schemas.openxmlformats.org/officeDocument/2006/relationships/hyperlink" Target="https://www.sec.gov/Archives/edgar/data/1447669/000144766922000049/0001447669-22-000049-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47669/000104746919000807/0001047469-19-000807-index.html" TargetMode="External"/><Relationship Id="rId17" Type="http://schemas.openxmlformats.org/officeDocument/2006/relationships/hyperlink" Target="https://www.sec.gov/Archives/edgar/data/1447669/000144766921000070/0001447669-21-00007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7669/000144766921000070/0001447669-21-000070-index.htm" TargetMode="External"/><Relationship Id="rId20" Type="http://schemas.openxmlformats.org/officeDocument/2006/relationships/hyperlink" Target="https://sec.gov/" TargetMode="External"/><Relationship Id="rId1" Type="http://schemas.openxmlformats.org/officeDocument/2006/relationships/hyperlink" Target="https://roic.ai/company/TWLO"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47669/000104746918001207/0001047469-18-001207-index.html" TargetMode="External"/><Relationship Id="rId24"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447669/000144766920000045/0001447669-20-000045-index.html" TargetMode="External"/><Relationship Id="rId23" Type="http://schemas.openxmlformats.org/officeDocument/2006/relationships/hyperlink" Target="https://finbox.com/NYSE:TWLO/explorer/fcf_unlev_proj" TargetMode="External"/><Relationship Id="rId10" Type="http://schemas.openxmlformats.org/officeDocument/2006/relationships/hyperlink" Target="https://www.sec.gov/Archives/edgar/data/1447669/000104746918001207/0001047469-18-001207-index.html" TargetMode="External"/><Relationship Id="rId19" Type="http://schemas.openxmlformats.org/officeDocument/2006/relationships/hyperlink" Target="https://www.sec.gov/Archives/edgar/data/1447669/000144766922000049/0001447669-22-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7669/000104746917000800/0001047469-17-000800-index.html" TargetMode="External"/><Relationship Id="rId14" Type="http://schemas.openxmlformats.org/officeDocument/2006/relationships/hyperlink" Target="https://www.sec.gov/Archives/edgar/data/1447669/000144766920000045/0001447669-20-000045-index.html" TargetMode="External"/><Relationship Id="rId22"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I90" activePane="bottomRight" state="frozen"/>
      <selection pane="topRight"/>
      <selection pane="bottomLeft"/>
      <selection pane="bottomRight" activeCell="K115" sqref="K115"/>
    </sheetView>
  </sheetViews>
  <sheetFormatPr baseColWidth="10" defaultRowHeight="16" x14ac:dyDescent="0.2"/>
  <cols>
    <col min="1" max="1" width="50" customWidth="1"/>
    <col min="2" max="12" width="15" customWidth="1"/>
    <col min="13" max="21" width="21" customWidth="1"/>
  </cols>
  <sheetData>
    <row r="1" spans="1:43" ht="22" thickBot="1" x14ac:dyDescent="0.3">
      <c r="A1" s="3" t="e" vm="1">
        <v>#VALUE!</v>
      </c>
      <c r="B1" s="8">
        <v>2013</v>
      </c>
      <c r="C1" s="8">
        <v>2014</v>
      </c>
      <c r="D1" s="8">
        <v>2015</v>
      </c>
      <c r="E1" s="8">
        <v>2016</v>
      </c>
      <c r="F1" s="8">
        <v>2017</v>
      </c>
      <c r="G1" s="8">
        <v>2018</v>
      </c>
      <c r="H1" s="8">
        <v>2019</v>
      </c>
      <c r="I1" s="8">
        <v>2020</v>
      </c>
      <c r="J1" s="8">
        <v>2021</v>
      </c>
      <c r="K1" s="8">
        <v>2022</v>
      </c>
      <c r="L1" s="26">
        <v>2023</v>
      </c>
      <c r="M1" s="26">
        <v>2024</v>
      </c>
      <c r="N1" s="26">
        <v>2025</v>
      </c>
      <c r="O1" s="26">
        <v>2026</v>
      </c>
      <c r="P1" s="26">
        <v>2027</v>
      </c>
      <c r="Q1" s="26">
        <v>2028</v>
      </c>
    </row>
    <row r="2" spans="1:43" ht="21" x14ac:dyDescent="0.25">
      <c r="A2" s="4" t="s">
        <v>0</v>
      </c>
      <c r="B2" s="9" t="s">
        <v>90</v>
      </c>
      <c r="C2" s="9" t="s">
        <v>90</v>
      </c>
      <c r="D2" s="9" t="s">
        <v>90</v>
      </c>
      <c r="E2" s="9" t="s">
        <v>90</v>
      </c>
      <c r="F2" s="9" t="s">
        <v>90</v>
      </c>
      <c r="G2" s="9" t="s">
        <v>90</v>
      </c>
      <c r="H2" s="9" t="s">
        <v>90</v>
      </c>
      <c r="I2" s="9" t="s">
        <v>90</v>
      </c>
      <c r="J2" s="9" t="s">
        <v>90</v>
      </c>
      <c r="K2" s="9" t="s">
        <v>90</v>
      </c>
      <c r="L2" s="9"/>
      <c r="M2" s="9" t="s">
        <v>90</v>
      </c>
      <c r="N2" s="9" t="s">
        <v>90</v>
      </c>
      <c r="O2" s="9"/>
      <c r="P2" s="9"/>
      <c r="Q2" s="9"/>
      <c r="R2" s="9"/>
      <c r="S2" s="9"/>
      <c r="T2" s="9"/>
      <c r="U2" s="9"/>
    </row>
    <row r="3" spans="1:43" ht="40" x14ac:dyDescent="0.25">
      <c r="A3" s="5" t="s">
        <v>1</v>
      </c>
      <c r="B3" s="1">
        <v>49920000</v>
      </c>
      <c r="C3" s="1">
        <v>88846000</v>
      </c>
      <c r="D3" s="1">
        <v>166919000</v>
      </c>
      <c r="E3" s="1">
        <v>277335000</v>
      </c>
      <c r="F3" s="1">
        <v>399020000</v>
      </c>
      <c r="G3" s="1">
        <v>650067000</v>
      </c>
      <c r="H3" s="1">
        <v>1134468000</v>
      </c>
      <c r="I3" s="1">
        <v>1761776000</v>
      </c>
      <c r="J3" s="1">
        <v>2841839000</v>
      </c>
      <c r="K3" s="1">
        <v>3826321000</v>
      </c>
      <c r="L3" s="27">
        <v>4062000000</v>
      </c>
      <c r="M3" s="27">
        <v>4403000000</v>
      </c>
      <c r="N3" s="27">
        <v>5126000000</v>
      </c>
      <c r="O3" s="27">
        <v>5410000000</v>
      </c>
      <c r="P3" s="27">
        <v>5951000000</v>
      </c>
      <c r="Q3" s="27">
        <v>6397000000</v>
      </c>
      <c r="R3" s="18" t="s">
        <v>107</v>
      </c>
      <c r="S3" s="19" t="s">
        <v>108</v>
      </c>
      <c r="T3" s="19" t="s">
        <v>109</v>
      </c>
      <c r="U3" s="19" t="s">
        <v>110</v>
      </c>
    </row>
    <row r="4" spans="1:43" ht="19" x14ac:dyDescent="0.25">
      <c r="A4" s="14" t="s">
        <v>93</v>
      </c>
      <c r="B4" s="1"/>
      <c r="C4" s="48">
        <f>(C3/B3)-1</f>
        <v>0.77976762820512824</v>
      </c>
      <c r="D4" s="48">
        <f>(D3/C3)-1</f>
        <v>0.87874524458051018</v>
      </c>
      <c r="E4" s="48">
        <f>(E3/D3)-1</f>
        <v>0.66149449733104082</v>
      </c>
      <c r="F4" s="48">
        <f t="shared" ref="F4:Q4" si="0">(F3/E3)-1</f>
        <v>0.43876539203490372</v>
      </c>
      <c r="G4" s="48">
        <f t="shared" si="0"/>
        <v>0.62915893940153378</v>
      </c>
      <c r="H4" s="48">
        <f t="shared" si="0"/>
        <v>0.74515549935622016</v>
      </c>
      <c r="I4" s="48">
        <f t="shared" si="0"/>
        <v>0.55295345483521796</v>
      </c>
      <c r="J4" s="48">
        <f t="shared" si="0"/>
        <v>0.613053532344634</v>
      </c>
      <c r="K4" s="48">
        <f t="shared" si="0"/>
        <v>0.34642426963666839</v>
      </c>
      <c r="L4" s="16">
        <f t="shared" si="0"/>
        <v>6.1594152712226791E-2</v>
      </c>
      <c r="M4" s="16">
        <f>(M3/L3)-1</f>
        <v>8.3948793697685931E-2</v>
      </c>
      <c r="N4" s="16">
        <f t="shared" si="0"/>
        <v>0.16420622302975252</v>
      </c>
      <c r="O4" s="16">
        <f t="shared" si="0"/>
        <v>5.5403823644166961E-2</v>
      </c>
      <c r="P4" s="16">
        <f t="shared" si="0"/>
        <v>0.10000000000000009</v>
      </c>
      <c r="Q4" s="16">
        <f t="shared" si="0"/>
        <v>7.4945387329860447E-2</v>
      </c>
      <c r="R4" s="17">
        <f>(K4+J4+L4)/3</f>
        <v>0.34035731823117638</v>
      </c>
      <c r="S4" s="17">
        <f>(K20+J20+L20)/3</f>
        <v>-0.14245835131729226</v>
      </c>
      <c r="T4" s="17">
        <f>(K29+J29+L29)/3</f>
        <v>1.0504951299961096E-3</v>
      </c>
      <c r="U4" s="17">
        <f>(K106+J106+L106)/3</f>
        <v>0.95104138036162278</v>
      </c>
      <c r="AI4" s="16"/>
      <c r="AJ4" s="16"/>
      <c r="AK4" s="16"/>
      <c r="AL4" s="16"/>
      <c r="AM4" s="16"/>
      <c r="AN4" s="16"/>
      <c r="AO4" s="16"/>
      <c r="AP4" s="16"/>
      <c r="AQ4" s="16"/>
    </row>
    <row r="5" spans="1:43" ht="19" x14ac:dyDescent="0.25">
      <c r="A5" s="5" t="s">
        <v>2</v>
      </c>
      <c r="B5" s="1">
        <v>25868000</v>
      </c>
      <c r="C5" s="1">
        <v>41423000</v>
      </c>
      <c r="D5" s="1">
        <v>74454000</v>
      </c>
      <c r="E5" s="1">
        <v>120520000</v>
      </c>
      <c r="F5" s="1">
        <v>182895000</v>
      </c>
      <c r="G5" s="1">
        <v>300841000</v>
      </c>
      <c r="H5" s="1">
        <v>525551000</v>
      </c>
      <c r="I5" s="1">
        <v>846115000</v>
      </c>
      <c r="J5" s="1">
        <v>1451126000</v>
      </c>
      <c r="K5" s="1">
        <v>2012744000</v>
      </c>
      <c r="L5" s="1"/>
    </row>
    <row r="6" spans="1:43" ht="20" x14ac:dyDescent="0.25">
      <c r="A6" s="6" t="s">
        <v>3</v>
      </c>
      <c r="B6" s="10">
        <v>24052000</v>
      </c>
      <c r="C6" s="10">
        <v>47423000</v>
      </c>
      <c r="D6" s="10">
        <v>92465000</v>
      </c>
      <c r="E6" s="10">
        <v>156815000</v>
      </c>
      <c r="F6" s="10">
        <v>216125000</v>
      </c>
      <c r="G6" s="10">
        <v>349226000</v>
      </c>
      <c r="H6" s="10">
        <v>608917000</v>
      </c>
      <c r="I6" s="10">
        <v>915661000</v>
      </c>
      <c r="J6" s="10">
        <v>1390713000</v>
      </c>
      <c r="K6" s="36">
        <v>1813577000</v>
      </c>
      <c r="L6" s="36">
        <f>L3*L7</f>
        <v>1979818800</v>
      </c>
      <c r="R6" s="57" t="s">
        <v>111</v>
      </c>
      <c r="S6" s="58" t="s">
        <v>112</v>
      </c>
      <c r="T6" s="58" t="s">
        <v>113</v>
      </c>
      <c r="U6" s="58" t="s">
        <v>114</v>
      </c>
    </row>
    <row r="7" spans="1:43" ht="19" x14ac:dyDescent="0.25">
      <c r="A7" s="5" t="s">
        <v>4</v>
      </c>
      <c r="B7" s="2">
        <v>0.48180000000000001</v>
      </c>
      <c r="C7" s="2">
        <v>0.53380000000000005</v>
      </c>
      <c r="D7" s="2">
        <v>0.55400000000000005</v>
      </c>
      <c r="E7" s="2">
        <v>0.56540000000000001</v>
      </c>
      <c r="F7" s="2">
        <v>0.54159999999999997</v>
      </c>
      <c r="G7" s="2">
        <v>0.53720000000000001</v>
      </c>
      <c r="H7" s="2">
        <v>0.53669999999999995</v>
      </c>
      <c r="I7" s="2">
        <v>0.51970000000000005</v>
      </c>
      <c r="J7" s="2">
        <v>0.4894</v>
      </c>
      <c r="K7" s="2">
        <v>0.47399999999999998</v>
      </c>
      <c r="L7" s="2">
        <v>0.4874</v>
      </c>
      <c r="R7" s="17">
        <f>L7</f>
        <v>0.4874</v>
      </c>
      <c r="S7" s="20">
        <f>L21</f>
        <v>0.16814377154111276</v>
      </c>
      <c r="T7" s="20">
        <f>L30</f>
        <v>7.8532742491383561E-2</v>
      </c>
      <c r="U7" s="20">
        <f>L107/L3</f>
        <v>0.13072378138847859</v>
      </c>
    </row>
    <row r="8" spans="1:43" ht="19" x14ac:dyDescent="0.25">
      <c r="A8" s="5" t="s">
        <v>5</v>
      </c>
      <c r="B8" s="1">
        <v>13959000</v>
      </c>
      <c r="C8" s="1">
        <v>21824000</v>
      </c>
      <c r="D8" s="1">
        <v>42559000</v>
      </c>
      <c r="E8" s="1">
        <v>77926000</v>
      </c>
      <c r="F8" s="1">
        <v>120739000</v>
      </c>
      <c r="G8" s="1">
        <v>171358000</v>
      </c>
      <c r="H8" s="1">
        <v>391355000</v>
      </c>
      <c r="I8" s="1">
        <v>530548000</v>
      </c>
      <c r="J8" s="1">
        <v>789219000</v>
      </c>
      <c r="K8" s="1">
        <v>1079081000</v>
      </c>
      <c r="L8" s="1"/>
    </row>
    <row r="9" spans="1:43" ht="19" customHeight="1" x14ac:dyDescent="0.25">
      <c r="A9" s="14" t="s">
        <v>94</v>
      </c>
      <c r="B9" s="15">
        <f>B8/B3</f>
        <v>0.27962740384615387</v>
      </c>
      <c r="C9" s="15">
        <f t="shared" ref="C9:K9" si="1">C8/C3</f>
        <v>0.24563852058618282</v>
      </c>
      <c r="D9" s="15">
        <f t="shared" si="1"/>
        <v>0.25496797848058039</v>
      </c>
      <c r="E9" s="15">
        <f t="shared" si="1"/>
        <v>0.28098148448627114</v>
      </c>
      <c r="F9" s="15">
        <f t="shared" si="1"/>
        <v>0.30258884266452807</v>
      </c>
      <c r="G9" s="15">
        <f t="shared" si="1"/>
        <v>0.26360052117704791</v>
      </c>
      <c r="H9" s="15">
        <f t="shared" si="1"/>
        <v>0.34496786158798659</v>
      </c>
      <c r="I9" s="15">
        <f t="shared" si="1"/>
        <v>0.30114384575564657</v>
      </c>
      <c r="J9" s="15">
        <f t="shared" si="1"/>
        <v>0.27771418437145806</v>
      </c>
      <c r="K9" s="15">
        <f t="shared" si="1"/>
        <v>0.28201528308785384</v>
      </c>
      <c r="L9" s="15"/>
      <c r="M9" s="15"/>
      <c r="N9" s="15"/>
      <c r="O9" s="15"/>
      <c r="P9" s="15"/>
      <c r="R9" s="18" t="s">
        <v>95</v>
      </c>
      <c r="S9" s="19" t="s">
        <v>96</v>
      </c>
      <c r="T9" s="19" t="s">
        <v>97</v>
      </c>
      <c r="U9" s="19" t="s">
        <v>98</v>
      </c>
      <c r="AI9" s="15"/>
      <c r="AJ9" s="15"/>
      <c r="AK9" s="15"/>
      <c r="AL9" s="15"/>
      <c r="AM9" s="15"/>
    </row>
    <row r="10" spans="1:43" ht="19" x14ac:dyDescent="0.25">
      <c r="A10" s="5" t="s">
        <v>6</v>
      </c>
      <c r="B10" s="1">
        <v>15012000</v>
      </c>
      <c r="C10" s="1">
        <v>18960000</v>
      </c>
      <c r="D10" s="1">
        <v>35991000</v>
      </c>
      <c r="E10" s="1">
        <v>51077000</v>
      </c>
      <c r="F10" s="1">
        <v>59619000</v>
      </c>
      <c r="G10" s="1">
        <v>110427000</v>
      </c>
      <c r="H10" s="1">
        <v>218268000</v>
      </c>
      <c r="I10" s="1">
        <v>310607000</v>
      </c>
      <c r="J10" s="1">
        <v>472460000</v>
      </c>
      <c r="K10" s="1">
        <v>517414000</v>
      </c>
      <c r="L10" s="1"/>
      <c r="R10" s="17">
        <f>K9</f>
        <v>0.28201528308785384</v>
      </c>
      <c r="S10" s="20">
        <f>K13</f>
        <v>0.46139516261181435</v>
      </c>
      <c r="T10" s="20">
        <f>K80</f>
        <v>0.20870177907185519</v>
      </c>
      <c r="U10" s="20">
        <f>K89</f>
        <v>2.0955377240958091E-2</v>
      </c>
    </row>
    <row r="11" spans="1:43" ht="19" x14ac:dyDescent="0.25">
      <c r="A11" s="5" t="s">
        <v>7</v>
      </c>
      <c r="B11" s="1">
        <v>21931000</v>
      </c>
      <c r="C11" s="1">
        <v>33322000</v>
      </c>
      <c r="D11" s="1">
        <v>49308000</v>
      </c>
      <c r="E11" s="1">
        <v>65267000</v>
      </c>
      <c r="F11" s="1">
        <v>100669000</v>
      </c>
      <c r="G11" s="1">
        <v>175555000</v>
      </c>
      <c r="H11" s="1">
        <v>369079000</v>
      </c>
      <c r="I11" s="1">
        <v>567407000</v>
      </c>
      <c r="J11" s="1">
        <v>1044618000</v>
      </c>
      <c r="K11" s="1">
        <v>1248032000</v>
      </c>
      <c r="L11" s="1"/>
    </row>
    <row r="12" spans="1:43" ht="20" x14ac:dyDescent="0.25">
      <c r="A12" s="5" t="s">
        <v>8</v>
      </c>
      <c r="B12" s="1">
        <v>36943000</v>
      </c>
      <c r="C12" s="1">
        <v>52282000</v>
      </c>
      <c r="D12" s="1">
        <v>85299000</v>
      </c>
      <c r="E12" s="1">
        <v>116344000</v>
      </c>
      <c r="F12" s="1">
        <v>160288000</v>
      </c>
      <c r="G12" s="1">
        <v>285982000</v>
      </c>
      <c r="H12" s="1">
        <v>587347000</v>
      </c>
      <c r="I12" s="1">
        <v>878014000</v>
      </c>
      <c r="J12" s="1">
        <v>1517078000</v>
      </c>
      <c r="K12" s="1">
        <v>1765446000</v>
      </c>
      <c r="L12" s="1"/>
      <c r="R12" s="18" t="s">
        <v>115</v>
      </c>
      <c r="S12" s="19" t="s">
        <v>116</v>
      </c>
      <c r="T12" s="19" t="s">
        <v>117</v>
      </c>
      <c r="U12" s="19" t="s">
        <v>118</v>
      </c>
    </row>
    <row r="13" spans="1:43" ht="19" x14ac:dyDescent="0.25">
      <c r="A13" s="14" t="s">
        <v>99</v>
      </c>
      <c r="B13" s="15">
        <f>B12/B3</f>
        <v>0.74004407051282051</v>
      </c>
      <c r="C13" s="15">
        <f t="shared" ref="C13:K13" si="2">C12/C3</f>
        <v>0.58845643022758476</v>
      </c>
      <c r="D13" s="15">
        <f t="shared" si="2"/>
        <v>0.51102031524272251</v>
      </c>
      <c r="E13" s="15">
        <f t="shared" si="2"/>
        <v>0.4195070943083275</v>
      </c>
      <c r="F13" s="15">
        <f t="shared" si="2"/>
        <v>0.40170417522931179</v>
      </c>
      <c r="G13" s="15">
        <f t="shared" si="2"/>
        <v>0.43992696137475062</v>
      </c>
      <c r="H13" s="15">
        <f t="shared" si="2"/>
        <v>0.5177290148333844</v>
      </c>
      <c r="I13" s="15">
        <f t="shared" si="2"/>
        <v>0.49836869159302888</v>
      </c>
      <c r="J13" s="15">
        <f t="shared" si="2"/>
        <v>0.53383671629532847</v>
      </c>
      <c r="K13" s="15">
        <f t="shared" si="2"/>
        <v>0.46139516261181435</v>
      </c>
      <c r="L13" s="15"/>
      <c r="M13" s="15"/>
      <c r="N13" s="15"/>
      <c r="O13" s="15"/>
      <c r="P13" s="15"/>
      <c r="R13" s="17">
        <f>K28/K72</f>
        <v>-0.11896391737053419</v>
      </c>
      <c r="S13" s="20">
        <f>K28/K54</f>
        <v>-9.997728485397997E-2</v>
      </c>
      <c r="T13" s="20">
        <f>K22/(K72+K56+K61)</f>
        <v>-0.10226185291681907</v>
      </c>
      <c r="U13" s="34">
        <f>K67/K72</f>
        <v>0.18990946337745412</v>
      </c>
      <c r="AI13" s="15"/>
      <c r="AJ13" s="15"/>
      <c r="AK13" s="15"/>
      <c r="AL13" s="15"/>
      <c r="AM13" s="15"/>
    </row>
    <row r="14" spans="1:43" ht="19" x14ac:dyDescent="0.25">
      <c r="A14" s="5" t="s">
        <v>9</v>
      </c>
      <c r="B14" s="1" t="s">
        <v>91</v>
      </c>
      <c r="C14" s="1" t="s">
        <v>91</v>
      </c>
      <c r="D14" s="1" t="s">
        <v>91</v>
      </c>
      <c r="E14" s="1" t="s">
        <v>91</v>
      </c>
      <c r="F14" s="1" t="s">
        <v>91</v>
      </c>
      <c r="G14" s="1" t="s">
        <v>91</v>
      </c>
      <c r="H14" s="1" t="s">
        <v>91</v>
      </c>
      <c r="I14" s="1" t="s">
        <v>91</v>
      </c>
      <c r="J14" s="1" t="s">
        <v>91</v>
      </c>
      <c r="K14" s="1">
        <v>174358000</v>
      </c>
      <c r="L14" s="1"/>
    </row>
    <row r="15" spans="1:43" ht="20" x14ac:dyDescent="0.25">
      <c r="A15" s="5" t="s">
        <v>10</v>
      </c>
      <c r="B15" s="1">
        <v>50902000</v>
      </c>
      <c r="C15" s="1">
        <v>74106000</v>
      </c>
      <c r="D15" s="1">
        <v>127858000</v>
      </c>
      <c r="E15" s="1">
        <v>194270000</v>
      </c>
      <c r="F15" s="1">
        <v>281027000</v>
      </c>
      <c r="G15" s="1">
        <v>457340000</v>
      </c>
      <c r="H15" s="1">
        <v>978702000</v>
      </c>
      <c r="I15" s="1">
        <v>1408562000</v>
      </c>
      <c r="J15" s="1">
        <v>2306297000</v>
      </c>
      <c r="K15" s="1">
        <v>3018885000</v>
      </c>
      <c r="L15" s="1"/>
      <c r="R15" s="18" t="s">
        <v>119</v>
      </c>
      <c r="S15" s="19" t="s">
        <v>120</v>
      </c>
      <c r="T15" s="19" t="s">
        <v>121</v>
      </c>
      <c r="U15" s="19" t="s">
        <v>122</v>
      </c>
    </row>
    <row r="16" spans="1:43" ht="19" x14ac:dyDescent="0.25">
      <c r="A16" s="5" t="s">
        <v>11</v>
      </c>
      <c r="B16" s="1">
        <v>76770000</v>
      </c>
      <c r="C16" s="1">
        <v>115529000</v>
      </c>
      <c r="D16" s="1">
        <v>202312000</v>
      </c>
      <c r="E16" s="1">
        <v>314790000</v>
      </c>
      <c r="F16" s="1">
        <v>463922000</v>
      </c>
      <c r="G16" s="1">
        <v>758181000</v>
      </c>
      <c r="H16" s="1">
        <v>1504253000</v>
      </c>
      <c r="I16" s="1">
        <v>2254677000</v>
      </c>
      <c r="J16" s="1">
        <v>3757423000</v>
      </c>
      <c r="K16" s="1">
        <v>5031629000</v>
      </c>
      <c r="L16" s="1"/>
      <c r="R16" s="28">
        <f>AVERAGE(H35:L35)</f>
        <v>0.14082796729970742</v>
      </c>
      <c r="S16" s="32">
        <f>T102/L3</f>
        <v>2.2378722304283603</v>
      </c>
      <c r="T16" s="32">
        <f>T102/L28</f>
        <v>28.496040752351096</v>
      </c>
      <c r="U16" s="33">
        <f>T102/L107</f>
        <v>17.119090395480224</v>
      </c>
    </row>
    <row r="17" spans="1:48" ht="19" x14ac:dyDescent="0.25">
      <c r="A17" s="5" t="s">
        <v>12</v>
      </c>
      <c r="B17" s="1" t="s">
        <v>91</v>
      </c>
      <c r="C17" s="1" t="s">
        <v>91</v>
      </c>
      <c r="D17" s="1" t="s">
        <v>91</v>
      </c>
      <c r="E17" s="1" t="s">
        <v>91</v>
      </c>
      <c r="F17" s="1" t="s">
        <v>91</v>
      </c>
      <c r="G17" s="1" t="s">
        <v>91</v>
      </c>
      <c r="H17" s="1" t="s">
        <v>91</v>
      </c>
      <c r="I17" s="1" t="s">
        <v>91</v>
      </c>
      <c r="J17" s="1" t="s">
        <v>91</v>
      </c>
      <c r="K17" s="1">
        <v>0</v>
      </c>
      <c r="L17" s="1"/>
    </row>
    <row r="18" spans="1:48" ht="20" x14ac:dyDescent="0.25">
      <c r="A18" s="5" t="s">
        <v>13</v>
      </c>
      <c r="B18" s="1">
        <v>610000</v>
      </c>
      <c r="C18" s="1">
        <v>1756000</v>
      </c>
      <c r="D18" s="1">
        <v>4226000</v>
      </c>
      <c r="E18" s="1">
        <v>8315000</v>
      </c>
      <c r="F18" s="1">
        <v>18764000</v>
      </c>
      <c r="G18" s="1">
        <v>26095000</v>
      </c>
      <c r="H18" s="1">
        <v>133623000</v>
      </c>
      <c r="I18" s="1">
        <v>149660000</v>
      </c>
      <c r="J18" s="1">
        <v>258378000</v>
      </c>
      <c r="K18" s="1">
        <v>312292000</v>
      </c>
      <c r="L18" s="1"/>
      <c r="R18" s="18" t="s">
        <v>123</v>
      </c>
      <c r="S18" s="19" t="s">
        <v>157</v>
      </c>
      <c r="T18" s="19" t="s">
        <v>158</v>
      </c>
      <c r="U18" s="19" t="s">
        <v>159</v>
      </c>
    </row>
    <row r="19" spans="1:48" ht="19" x14ac:dyDescent="0.25">
      <c r="A19" s="6" t="s">
        <v>14</v>
      </c>
      <c r="B19" s="10">
        <v>-26244000</v>
      </c>
      <c r="C19" s="10">
        <v>-24989000</v>
      </c>
      <c r="D19" s="10">
        <v>-31156000</v>
      </c>
      <c r="E19" s="10">
        <v>-32683000</v>
      </c>
      <c r="F19" s="10">
        <v>-44239000</v>
      </c>
      <c r="G19" s="10">
        <v>-95063000</v>
      </c>
      <c r="H19" s="10">
        <v>-228593000</v>
      </c>
      <c r="I19" s="10">
        <v>-354766000</v>
      </c>
      <c r="J19" s="10">
        <v>-702551000</v>
      </c>
      <c r="K19" s="10">
        <v>-931340000</v>
      </c>
      <c r="L19" s="30">
        <v>683000000</v>
      </c>
      <c r="M19" s="30">
        <v>755000000</v>
      </c>
      <c r="N19" s="30">
        <v>983000000</v>
      </c>
      <c r="O19" s="30">
        <v>884800000</v>
      </c>
      <c r="P19" s="30">
        <v>1210000000</v>
      </c>
      <c r="Q19" s="30">
        <v>1333000000</v>
      </c>
      <c r="R19" s="29">
        <f>K40-K56-K61</f>
        <v>2927624000</v>
      </c>
      <c r="S19" s="32">
        <f>T102/M3</f>
        <v>2.0645553032023622</v>
      </c>
      <c r="T19" s="35">
        <f>T102/M28</f>
        <v>24.048246031746032</v>
      </c>
      <c r="U19" s="33">
        <f>T102/M107</f>
        <v>14.137227060653188</v>
      </c>
    </row>
    <row r="20" spans="1:48" ht="19" customHeight="1" x14ac:dyDescent="0.25">
      <c r="A20" s="14" t="s">
        <v>100</v>
      </c>
      <c r="B20" s="1"/>
      <c r="C20" s="15">
        <f>(C19/B19)-1</f>
        <v>-4.7820454199055007E-2</v>
      </c>
      <c r="D20" s="15">
        <f>(D19/C19)-1</f>
        <v>0.24678858697827044</v>
      </c>
      <c r="E20" s="15">
        <f>(E19/D19)-1</f>
        <v>4.9011426370522582E-2</v>
      </c>
      <c r="F20" s="15">
        <f t="shared" ref="F20:L20" si="3">(F19/E19)-1</f>
        <v>0.35357831288437414</v>
      </c>
      <c r="G20" s="15">
        <f t="shared" si="3"/>
        <v>1.1488505617215581</v>
      </c>
      <c r="H20" s="15">
        <f t="shared" si="3"/>
        <v>1.4046474443263941</v>
      </c>
      <c r="I20" s="15">
        <f t="shared" si="3"/>
        <v>0.55195478426723477</v>
      </c>
      <c r="J20" s="15">
        <f t="shared" si="3"/>
        <v>0.9803222405754779</v>
      </c>
      <c r="K20" s="15">
        <f t="shared" si="3"/>
        <v>0.32565464998270599</v>
      </c>
      <c r="L20" s="16">
        <f t="shared" si="3"/>
        <v>-1.7333519445100607</v>
      </c>
      <c r="M20" s="16">
        <f t="shared" ref="M20" si="4">(M19/L19)-1</f>
        <v>0.10541727672035139</v>
      </c>
      <c r="N20" s="16">
        <f t="shared" ref="N20" si="5">(N19/M19)-1</f>
        <v>0.30198675496688732</v>
      </c>
      <c r="O20" s="16">
        <f t="shared" ref="O20" si="6">(O19/N19)-1</f>
        <v>-9.9898270600203509E-2</v>
      </c>
      <c r="P20" s="16">
        <f t="shared" ref="P20" si="7">(P19/O19)-1</f>
        <v>0.36754068716094035</v>
      </c>
      <c r="Q20" s="16">
        <f t="shared" ref="Q20" si="8">(Q19/P19)-1</f>
        <v>0.10165289256198351</v>
      </c>
      <c r="R20" s="15"/>
      <c r="S20" s="15"/>
      <c r="T20" s="15"/>
      <c r="U20" s="15"/>
      <c r="AI20" s="15"/>
      <c r="AJ20" s="15"/>
      <c r="AK20" s="15"/>
      <c r="AL20" s="15"/>
      <c r="AM20" s="15"/>
      <c r="AU20" s="15"/>
      <c r="AV20" s="15"/>
    </row>
    <row r="21" spans="1:48" ht="20" x14ac:dyDescent="0.25">
      <c r="A21" s="5" t="s">
        <v>15</v>
      </c>
      <c r="B21" s="2">
        <v>-0.52569999999999995</v>
      </c>
      <c r="C21" s="2">
        <v>-0.28129999999999999</v>
      </c>
      <c r="D21" s="2">
        <v>-0.1867</v>
      </c>
      <c r="E21" s="2">
        <v>-0.1178</v>
      </c>
      <c r="F21" s="2">
        <v>-0.1109</v>
      </c>
      <c r="G21" s="2">
        <v>-0.1462</v>
      </c>
      <c r="H21" s="2">
        <v>-0.20150000000000001</v>
      </c>
      <c r="I21" s="2">
        <v>-0.2014</v>
      </c>
      <c r="J21" s="2">
        <v>-0.2472</v>
      </c>
      <c r="K21" s="2">
        <v>-0.24340000000000001</v>
      </c>
      <c r="L21" s="38">
        <f>L19/L3</f>
        <v>0.16814377154111276</v>
      </c>
      <c r="M21" s="39">
        <f t="shared" ref="M21:Q21" si="9">M19/M3</f>
        <v>0.17147399500340677</v>
      </c>
      <c r="N21" s="39">
        <f t="shared" si="9"/>
        <v>0.19176746000780334</v>
      </c>
      <c r="O21" s="39">
        <f t="shared" si="9"/>
        <v>0.16354898336414048</v>
      </c>
      <c r="P21" s="39">
        <f t="shared" si="9"/>
        <v>0.20332717190388169</v>
      </c>
      <c r="Q21" s="39">
        <f t="shared" si="9"/>
        <v>0.20837892762232296</v>
      </c>
      <c r="S21" s="49" t="s">
        <v>167</v>
      </c>
      <c r="T21" s="18" t="s">
        <v>164</v>
      </c>
      <c r="U21" s="19" t="s">
        <v>166</v>
      </c>
    </row>
    <row r="22" spans="1:48" ht="19" x14ac:dyDescent="0.25">
      <c r="A22" s="6" t="s">
        <v>16</v>
      </c>
      <c r="B22" s="10">
        <v>-26850000</v>
      </c>
      <c r="C22" s="10">
        <v>-26683000</v>
      </c>
      <c r="D22" s="10">
        <v>-35393000</v>
      </c>
      <c r="E22" s="10">
        <v>-41315000</v>
      </c>
      <c r="F22" s="10">
        <v>-66074000</v>
      </c>
      <c r="G22" s="10">
        <v>-115235000</v>
      </c>
      <c r="H22" s="10">
        <v>-369785000</v>
      </c>
      <c r="I22" s="10">
        <v>-492901000</v>
      </c>
      <c r="J22" s="10">
        <v>-915584000</v>
      </c>
      <c r="K22" s="10">
        <v>-1205308000</v>
      </c>
      <c r="L22" s="10"/>
      <c r="S22" s="17">
        <f>SUM(M29:Q29)/5</f>
        <v>0.33335093796254017</v>
      </c>
      <c r="T22" s="41">
        <f>(-1*L98)/T102</f>
        <v>0</v>
      </c>
      <c r="U22" s="42">
        <f>L105/T102</f>
        <v>6.5674855342055444E-2</v>
      </c>
    </row>
    <row r="23" spans="1:48" ht="19" x14ac:dyDescent="0.25">
      <c r="A23" s="5" t="s">
        <v>17</v>
      </c>
      <c r="B23" s="2">
        <v>-0.53790000000000004</v>
      </c>
      <c r="C23" s="2">
        <v>-0.30030000000000001</v>
      </c>
      <c r="D23" s="2">
        <v>-0.21199999999999999</v>
      </c>
      <c r="E23" s="2">
        <v>-0.14899999999999999</v>
      </c>
      <c r="F23" s="2">
        <v>-0.1656</v>
      </c>
      <c r="G23" s="2">
        <v>-0.17730000000000001</v>
      </c>
      <c r="H23" s="2">
        <v>-0.32600000000000001</v>
      </c>
      <c r="I23" s="2">
        <v>-0.27979999999999999</v>
      </c>
      <c r="J23" s="2">
        <v>-0.32219999999999999</v>
      </c>
      <c r="K23" s="2">
        <v>-0.315</v>
      </c>
      <c r="L23" s="2"/>
    </row>
    <row r="24" spans="1:48" ht="19" x14ac:dyDescent="0.25">
      <c r="A24" s="5" t="s">
        <v>18</v>
      </c>
      <c r="B24" s="1">
        <v>-4000</v>
      </c>
      <c r="C24" s="1">
        <v>-62000</v>
      </c>
      <c r="D24" s="1">
        <v>11000</v>
      </c>
      <c r="E24" s="1">
        <v>317000</v>
      </c>
      <c r="F24" s="1">
        <v>3071000</v>
      </c>
      <c r="G24" s="1">
        <v>-5923000</v>
      </c>
      <c r="H24" s="1">
        <v>7569000</v>
      </c>
      <c r="I24" s="1">
        <v>-11525000</v>
      </c>
      <c r="J24" s="1">
        <v>-45345000</v>
      </c>
      <c r="K24" s="1">
        <v>-38324000</v>
      </c>
      <c r="L24" s="1"/>
    </row>
    <row r="25" spans="1:48" ht="19" x14ac:dyDescent="0.25">
      <c r="A25" s="6" t="s">
        <v>19</v>
      </c>
      <c r="B25" s="10">
        <v>-26854000</v>
      </c>
      <c r="C25" s="10">
        <v>-26745000</v>
      </c>
      <c r="D25" s="10">
        <v>-35382000</v>
      </c>
      <c r="E25" s="10">
        <v>-40998000</v>
      </c>
      <c r="F25" s="10">
        <v>-63003000</v>
      </c>
      <c r="G25" s="10">
        <v>-121158000</v>
      </c>
      <c r="H25" s="10">
        <v>-362216000</v>
      </c>
      <c r="I25" s="10">
        <v>-504426000</v>
      </c>
      <c r="J25" s="10">
        <v>-960929000</v>
      </c>
      <c r="K25" s="10">
        <v>-1243632000</v>
      </c>
      <c r="L25" s="31"/>
    </row>
    <row r="26" spans="1:48" ht="19" x14ac:dyDescent="0.25">
      <c r="A26" s="5" t="s">
        <v>20</v>
      </c>
      <c r="B26" s="2">
        <v>-0.53790000000000004</v>
      </c>
      <c r="C26" s="2">
        <v>-0.30099999999999999</v>
      </c>
      <c r="D26" s="2">
        <v>-0.21199999999999999</v>
      </c>
      <c r="E26" s="2">
        <v>-0.14779999999999999</v>
      </c>
      <c r="F26" s="2">
        <v>-0.15790000000000001</v>
      </c>
      <c r="G26" s="2">
        <v>-0.18640000000000001</v>
      </c>
      <c r="H26" s="2">
        <v>-0.31929999999999997</v>
      </c>
      <c r="I26" s="2">
        <v>-0.2863</v>
      </c>
      <c r="J26" s="2">
        <v>-0.33810000000000001</v>
      </c>
      <c r="K26" s="2">
        <v>-0.32500000000000001</v>
      </c>
      <c r="L26" s="2"/>
    </row>
    <row r="27" spans="1:48" ht="19" x14ac:dyDescent="0.25">
      <c r="A27" s="5" t="s">
        <v>21</v>
      </c>
      <c r="B27" s="1" t="s">
        <v>91</v>
      </c>
      <c r="C27" s="1">
        <v>13000</v>
      </c>
      <c r="D27" s="1">
        <v>122000</v>
      </c>
      <c r="E27" s="1">
        <v>326000</v>
      </c>
      <c r="F27" s="1">
        <v>705000</v>
      </c>
      <c r="G27" s="1">
        <v>791000</v>
      </c>
      <c r="H27" s="1">
        <v>-55153000</v>
      </c>
      <c r="I27" s="1">
        <v>-13447000</v>
      </c>
      <c r="J27" s="1">
        <v>-11029000</v>
      </c>
      <c r="K27" s="1">
        <v>12513000</v>
      </c>
      <c r="L27" s="1"/>
    </row>
    <row r="28" spans="1:48" ht="20" thickBot="1" x14ac:dyDescent="0.3">
      <c r="A28" s="7" t="s">
        <v>22</v>
      </c>
      <c r="B28" s="11">
        <v>-26854000</v>
      </c>
      <c r="C28" s="11">
        <v>-26758000</v>
      </c>
      <c r="D28" s="11">
        <v>-35504000</v>
      </c>
      <c r="E28" s="11">
        <v>-41324000</v>
      </c>
      <c r="F28" s="11">
        <v>-63708000</v>
      </c>
      <c r="G28" s="11">
        <v>-121949000</v>
      </c>
      <c r="H28" s="11">
        <v>-307063000</v>
      </c>
      <c r="I28" s="11">
        <v>-490979000</v>
      </c>
      <c r="J28" s="11">
        <v>-949900000</v>
      </c>
      <c r="K28" s="11">
        <v>-1256145000</v>
      </c>
      <c r="L28" s="37">
        <v>319000000</v>
      </c>
      <c r="M28" s="37">
        <v>378000000</v>
      </c>
      <c r="N28" s="37">
        <v>564000000</v>
      </c>
      <c r="O28" s="37">
        <v>821000000</v>
      </c>
      <c r="P28" s="37">
        <v>1043000000</v>
      </c>
      <c r="Q28" s="37">
        <v>1318000000</v>
      </c>
    </row>
    <row r="29" spans="1:48" ht="20" customHeight="1" thickTop="1" x14ac:dyDescent="0.25">
      <c r="A29" s="14" t="s">
        <v>101</v>
      </c>
      <c r="B29" s="1"/>
      <c r="C29" s="15">
        <f>(C28/B28)-1</f>
        <v>-3.5748864228792865E-3</v>
      </c>
      <c r="D29" s="15">
        <f>(D28/C28)-1</f>
        <v>0.32685551984453243</v>
      </c>
      <c r="E29" s="15">
        <f>(E28/D28)-1</f>
        <v>0.16392519152771512</v>
      </c>
      <c r="F29" s="15">
        <f t="shared" ref="F29:K29" si="10">(F28/E28)-1</f>
        <v>0.5416706998354468</v>
      </c>
      <c r="G29" s="15">
        <f t="shared" si="10"/>
        <v>0.91418660136874497</v>
      </c>
      <c r="H29" s="15">
        <f t="shared" si="10"/>
        <v>1.5179624269161698</v>
      </c>
      <c r="I29" s="15">
        <f t="shared" si="10"/>
        <v>0.59895200659148129</v>
      </c>
      <c r="J29" s="15">
        <f t="shared" si="10"/>
        <v>0.9347059650209073</v>
      </c>
      <c r="K29" s="15">
        <f t="shared" si="10"/>
        <v>0.32239709443099263</v>
      </c>
      <c r="L29" s="16">
        <f t="shared" ref="L29" si="11">(L28/K28)-1</f>
        <v>-1.2539515740619116</v>
      </c>
      <c r="M29" s="16">
        <f t="shared" ref="M29" si="12">(M28/L28)-1</f>
        <v>0.1849529780564263</v>
      </c>
      <c r="N29" s="16">
        <f t="shared" ref="N29" si="13">(N28/M28)-1</f>
        <v>0.49206349206349209</v>
      </c>
      <c r="O29" s="16">
        <f t="shared" ref="O29" si="14">(O28/N28)-1</f>
        <v>0.45567375886524819</v>
      </c>
      <c r="P29" s="16">
        <f t="shared" ref="P29" si="15">(P28/O28)-1</f>
        <v>0.27040194884287461</v>
      </c>
      <c r="Q29" s="16">
        <f t="shared" ref="Q29" si="16">(Q28/P28)-1</f>
        <v>0.26366251198465962</v>
      </c>
      <c r="R29" s="15"/>
      <c r="S29" s="15"/>
      <c r="T29" s="15"/>
      <c r="U29" s="15"/>
      <c r="AI29" s="15"/>
      <c r="AJ29" s="15"/>
      <c r="AK29" s="15"/>
      <c r="AL29" s="15"/>
      <c r="AM29" s="15"/>
      <c r="AU29" s="15"/>
      <c r="AV29" s="15"/>
    </row>
    <row r="30" spans="1:48" ht="19" x14ac:dyDescent="0.25">
      <c r="A30" s="5" t="s">
        <v>23</v>
      </c>
      <c r="B30" s="2">
        <v>-0.53790000000000004</v>
      </c>
      <c r="C30" s="2">
        <v>-0.30120000000000002</v>
      </c>
      <c r="D30" s="2">
        <v>-0.2127</v>
      </c>
      <c r="E30" s="2">
        <v>-0.14899999999999999</v>
      </c>
      <c r="F30" s="2">
        <v>-0.15970000000000001</v>
      </c>
      <c r="G30" s="2">
        <v>-0.18759999999999999</v>
      </c>
      <c r="H30" s="2">
        <v>-0.2707</v>
      </c>
      <c r="I30" s="2">
        <v>-0.2787</v>
      </c>
      <c r="J30" s="2">
        <v>-0.33429999999999999</v>
      </c>
      <c r="K30" s="2">
        <v>-0.32829999999999998</v>
      </c>
      <c r="L30" s="38">
        <f>L28/L3</f>
        <v>7.8532742491383561E-2</v>
      </c>
      <c r="M30" s="38">
        <f>M28/M3</f>
        <v>8.5850556438791734E-2</v>
      </c>
      <c r="N30" s="38">
        <f t="shared" ref="N30:Q30" si="17">N28/N3</f>
        <v>0.11002731174404994</v>
      </c>
      <c r="O30" s="38">
        <f t="shared" si="17"/>
        <v>0.15175600739371534</v>
      </c>
      <c r="P30" s="38">
        <f t="shared" si="17"/>
        <v>0.17526466140144514</v>
      </c>
      <c r="Q30" s="38">
        <f t="shared" si="17"/>
        <v>0.20603407847428482</v>
      </c>
    </row>
    <row r="31" spans="1:48" ht="19" x14ac:dyDescent="0.25">
      <c r="A31" s="5" t="s">
        <v>24</v>
      </c>
      <c r="B31" s="12">
        <v>-0.45</v>
      </c>
      <c r="C31" s="12">
        <v>-0.37</v>
      </c>
      <c r="D31" s="12">
        <v>-0.54</v>
      </c>
      <c r="E31" s="12">
        <v>-0.78</v>
      </c>
      <c r="F31" s="12">
        <v>-0.7</v>
      </c>
      <c r="G31" s="12">
        <v>-1.26</v>
      </c>
      <c r="H31" s="12">
        <v>-2.36</v>
      </c>
      <c r="I31" s="12">
        <v>-3.35</v>
      </c>
      <c r="J31" s="12">
        <v>-6.47</v>
      </c>
      <c r="K31" s="12">
        <v>-6.86</v>
      </c>
      <c r="L31" s="12"/>
    </row>
    <row r="32" spans="1:48" ht="19" x14ac:dyDescent="0.25">
      <c r="A32" s="5" t="s">
        <v>25</v>
      </c>
      <c r="B32" s="12">
        <v>-0.45</v>
      </c>
      <c r="C32" s="12">
        <v>-0.37</v>
      </c>
      <c r="D32" s="12">
        <v>-0.54</v>
      </c>
      <c r="E32" s="12">
        <v>-0.78</v>
      </c>
      <c r="F32" s="12">
        <v>-0.7</v>
      </c>
      <c r="G32" s="12">
        <v>-1.26</v>
      </c>
      <c r="H32" s="12">
        <v>-2.36</v>
      </c>
      <c r="I32" s="12">
        <v>-3.35</v>
      </c>
      <c r="J32" s="12">
        <v>-6.47</v>
      </c>
      <c r="K32" s="12">
        <v>-6.86</v>
      </c>
      <c r="L32" s="12"/>
    </row>
    <row r="33" spans="1:39" ht="19" x14ac:dyDescent="0.25">
      <c r="A33" s="5" t="s">
        <v>26</v>
      </c>
      <c r="B33" s="1">
        <v>59398525</v>
      </c>
      <c r="C33" s="1">
        <v>71991639</v>
      </c>
      <c r="D33" s="1">
        <v>72254967</v>
      </c>
      <c r="E33" s="1">
        <v>53116675</v>
      </c>
      <c r="F33" s="1">
        <v>91224607</v>
      </c>
      <c r="G33" s="1">
        <v>97130339</v>
      </c>
      <c r="H33" s="1">
        <v>130083046</v>
      </c>
      <c r="I33" s="1">
        <v>146708663</v>
      </c>
      <c r="J33" s="1">
        <v>146708663</v>
      </c>
      <c r="K33" s="1">
        <v>182994038</v>
      </c>
      <c r="L33" s="1" cm="1">
        <f t="array" ref="L33">_FV(A1,"Shares outstanding",TRUE)</f>
        <v>181116500</v>
      </c>
    </row>
    <row r="34" spans="1:39" ht="19" x14ac:dyDescent="0.25">
      <c r="A34" s="5" t="s">
        <v>27</v>
      </c>
      <c r="B34" s="1">
        <v>59398525</v>
      </c>
      <c r="C34" s="1">
        <v>71991639</v>
      </c>
      <c r="D34" s="1">
        <v>72254967</v>
      </c>
      <c r="E34" s="1">
        <v>53116675</v>
      </c>
      <c r="F34" s="1">
        <v>91224607</v>
      </c>
      <c r="G34" s="1">
        <v>97130339</v>
      </c>
      <c r="H34" s="1">
        <v>130083046</v>
      </c>
      <c r="I34" s="1">
        <v>146708663</v>
      </c>
      <c r="J34" s="1">
        <v>146708663</v>
      </c>
      <c r="K34" s="1">
        <v>182994038</v>
      </c>
      <c r="L34" s="1" cm="1">
        <f t="array" ref="L34">_FV(A1,"Shares outstanding",TRUE)</f>
        <v>181116500</v>
      </c>
    </row>
    <row r="35" spans="1:39" ht="20" customHeight="1" x14ac:dyDescent="0.25">
      <c r="A35" s="14" t="s">
        <v>102</v>
      </c>
      <c r="B35" s="1"/>
      <c r="C35" s="21">
        <f>(C34-B34)/B34</f>
        <v>0.21201055076704345</v>
      </c>
      <c r="D35" s="21">
        <f t="shared" ref="D35:L35" si="18">(D34-C34)/C34</f>
        <v>3.6577580904915918E-3</v>
      </c>
      <c r="E35" s="21">
        <f t="shared" si="18"/>
        <v>-0.26487164543303993</v>
      </c>
      <c r="F35" s="21">
        <f t="shared" si="18"/>
        <v>0.71743820561057337</v>
      </c>
      <c r="G35" s="21">
        <f t="shared" si="18"/>
        <v>6.4738366041960593E-2</v>
      </c>
      <c r="H35" s="21">
        <f t="shared" si="18"/>
        <v>0.33926276114407466</v>
      </c>
      <c r="I35" s="21">
        <f t="shared" si="18"/>
        <v>0.12780771600320615</v>
      </c>
      <c r="J35" s="21">
        <f t="shared" si="18"/>
        <v>0</v>
      </c>
      <c r="K35" s="21">
        <f t="shared" si="18"/>
        <v>0.24732946410942344</v>
      </c>
      <c r="L35" s="21">
        <f t="shared" si="18"/>
        <v>-1.0260104758167039E-2</v>
      </c>
      <c r="M35" s="21"/>
      <c r="N35" s="21"/>
      <c r="O35" s="21"/>
      <c r="P35" s="21"/>
      <c r="Q35" s="21"/>
      <c r="R35" s="21"/>
      <c r="S35" s="21"/>
      <c r="T35" s="21"/>
      <c r="U35" s="21"/>
      <c r="AI35" s="21"/>
      <c r="AJ35" s="21"/>
      <c r="AK35" s="21"/>
      <c r="AL35" s="21"/>
      <c r="AM35" s="21"/>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39" ht="19" x14ac:dyDescent="0.25">
      <c r="A38" s="5" t="s">
        <v>30</v>
      </c>
      <c r="B38" s="1" t="s">
        <v>91</v>
      </c>
      <c r="C38" s="1">
        <v>32627000</v>
      </c>
      <c r="D38" s="1">
        <v>108835000</v>
      </c>
      <c r="E38" s="1">
        <v>305665000</v>
      </c>
      <c r="F38" s="1">
        <v>115286000</v>
      </c>
      <c r="G38" s="1">
        <v>487215000</v>
      </c>
      <c r="H38" s="1">
        <v>253660000</v>
      </c>
      <c r="I38" s="1">
        <v>933885000</v>
      </c>
      <c r="J38" s="1">
        <v>1479452000</v>
      </c>
      <c r="K38" s="1">
        <v>651752000</v>
      </c>
      <c r="L38" s="1"/>
    </row>
    <row r="39" spans="1:39" ht="19" x14ac:dyDescent="0.25">
      <c r="A39" s="5" t="s">
        <v>31</v>
      </c>
      <c r="B39" s="1" t="s">
        <v>91</v>
      </c>
      <c r="C39" s="1" t="s">
        <v>91</v>
      </c>
      <c r="D39" s="1" t="s">
        <v>91</v>
      </c>
      <c r="E39" s="1" t="s">
        <v>91</v>
      </c>
      <c r="F39" s="1">
        <v>175587000</v>
      </c>
      <c r="G39" s="1">
        <v>261128000</v>
      </c>
      <c r="H39" s="1">
        <v>1599033000</v>
      </c>
      <c r="I39" s="1">
        <v>2105906000</v>
      </c>
      <c r="J39" s="1">
        <v>3878430000</v>
      </c>
      <c r="K39" s="1">
        <v>3503317000</v>
      </c>
      <c r="L39" s="1"/>
    </row>
    <row r="40" spans="1:39" ht="19" x14ac:dyDescent="0.25">
      <c r="A40" s="5" t="s">
        <v>32</v>
      </c>
      <c r="B40" s="1" t="s">
        <v>91</v>
      </c>
      <c r="C40" s="1">
        <v>32627000</v>
      </c>
      <c r="D40" s="1">
        <v>108835000</v>
      </c>
      <c r="E40" s="1">
        <v>305665000</v>
      </c>
      <c r="F40" s="1">
        <v>290873000</v>
      </c>
      <c r="G40" s="1">
        <v>748343000</v>
      </c>
      <c r="H40" s="1">
        <v>1852693000</v>
      </c>
      <c r="I40" s="1">
        <v>3039791000</v>
      </c>
      <c r="J40" s="1">
        <v>5357882000</v>
      </c>
      <c r="K40" s="1">
        <v>4155069000</v>
      </c>
      <c r="L40" s="1"/>
    </row>
    <row r="41" spans="1:39" ht="19" x14ac:dyDescent="0.25">
      <c r="A41" s="5" t="s">
        <v>33</v>
      </c>
      <c r="B41" s="1" t="s">
        <v>91</v>
      </c>
      <c r="C41" s="1">
        <v>9264000</v>
      </c>
      <c r="D41" s="1">
        <v>19094000</v>
      </c>
      <c r="E41" s="1">
        <v>26203000</v>
      </c>
      <c r="F41" s="1">
        <v>43113000</v>
      </c>
      <c r="G41" s="1">
        <v>97712000</v>
      </c>
      <c r="H41" s="1">
        <v>154067000</v>
      </c>
      <c r="I41" s="1">
        <v>251167000</v>
      </c>
      <c r="J41" s="1">
        <v>388215000</v>
      </c>
      <c r="K41" s="1">
        <v>547507000</v>
      </c>
      <c r="L41" s="1"/>
    </row>
    <row r="42" spans="1:39" ht="19" x14ac:dyDescent="0.25">
      <c r="A42" s="5" t="s">
        <v>34</v>
      </c>
      <c r="B42" s="1" t="s">
        <v>91</v>
      </c>
      <c r="C42" s="1" t="s">
        <v>91</v>
      </c>
      <c r="D42" s="1" t="s">
        <v>91</v>
      </c>
      <c r="E42" s="1" t="s">
        <v>91</v>
      </c>
      <c r="F42" s="1" t="s">
        <v>91</v>
      </c>
      <c r="G42" s="1" t="s">
        <v>91</v>
      </c>
      <c r="H42" s="1" t="s">
        <v>91</v>
      </c>
      <c r="I42" s="1" t="s">
        <v>91</v>
      </c>
      <c r="J42" s="1" t="s">
        <v>91</v>
      </c>
      <c r="K42" s="1" t="s">
        <v>91</v>
      </c>
      <c r="L42" s="1"/>
    </row>
    <row r="43" spans="1:39" ht="19" x14ac:dyDescent="0.25">
      <c r="A43" s="5" t="s">
        <v>35</v>
      </c>
      <c r="B43" s="1" t="s">
        <v>91</v>
      </c>
      <c r="C43" s="1">
        <v>4458000</v>
      </c>
      <c r="D43" s="1">
        <v>8546000</v>
      </c>
      <c r="E43" s="1">
        <v>21512000</v>
      </c>
      <c r="F43" s="1">
        <v>19279000</v>
      </c>
      <c r="G43" s="1">
        <v>26893000</v>
      </c>
      <c r="H43" s="1">
        <v>54571000</v>
      </c>
      <c r="I43" s="1">
        <v>81377000</v>
      </c>
      <c r="J43" s="1">
        <v>186131000</v>
      </c>
      <c r="K43" s="1">
        <v>281510000</v>
      </c>
      <c r="L43" s="1"/>
    </row>
    <row r="44" spans="1:39" ht="19" x14ac:dyDescent="0.25">
      <c r="A44" s="6" t="s">
        <v>36</v>
      </c>
      <c r="B44" s="10" t="s">
        <v>91</v>
      </c>
      <c r="C44" s="10">
        <v>46349000</v>
      </c>
      <c r="D44" s="10">
        <v>136475000</v>
      </c>
      <c r="E44" s="10">
        <v>353380000</v>
      </c>
      <c r="F44" s="10">
        <v>353265000</v>
      </c>
      <c r="G44" s="10">
        <v>872948000</v>
      </c>
      <c r="H44" s="10">
        <v>2061331000</v>
      </c>
      <c r="I44" s="10">
        <v>3372335000</v>
      </c>
      <c r="J44" s="10">
        <v>5932228000</v>
      </c>
      <c r="K44" s="10">
        <v>4984086000</v>
      </c>
      <c r="L44" s="10"/>
    </row>
    <row r="45" spans="1:39" ht="19" x14ac:dyDescent="0.25">
      <c r="A45" s="5" t="s">
        <v>37</v>
      </c>
      <c r="B45" s="1" t="s">
        <v>91</v>
      </c>
      <c r="C45" s="1">
        <v>6751000</v>
      </c>
      <c r="D45" s="1">
        <v>14058000</v>
      </c>
      <c r="E45" s="1">
        <v>37552000</v>
      </c>
      <c r="F45" s="1">
        <v>50541000</v>
      </c>
      <c r="G45" s="1">
        <v>63534000</v>
      </c>
      <c r="H45" s="1">
        <v>297997000</v>
      </c>
      <c r="I45" s="1">
        <v>441849000</v>
      </c>
      <c r="J45" s="1">
        <v>489900000</v>
      </c>
      <c r="K45" s="1">
        <v>385320000</v>
      </c>
      <c r="L45" s="1"/>
    </row>
    <row r="46" spans="1:39" ht="19" x14ac:dyDescent="0.25">
      <c r="A46" s="5" t="s">
        <v>38</v>
      </c>
      <c r="B46" s="1" t="s">
        <v>91</v>
      </c>
      <c r="C46" s="1" t="s">
        <v>91</v>
      </c>
      <c r="D46" s="1">
        <v>3165000</v>
      </c>
      <c r="E46" s="1">
        <v>3565000</v>
      </c>
      <c r="F46" s="1">
        <v>17851000</v>
      </c>
      <c r="G46" s="1">
        <v>38165000</v>
      </c>
      <c r="H46" s="1">
        <v>2296784000</v>
      </c>
      <c r="I46" s="1">
        <v>4595394000</v>
      </c>
      <c r="J46" s="1">
        <v>5263166000</v>
      </c>
      <c r="K46" s="1">
        <v>5284153000</v>
      </c>
      <c r="L46" s="1"/>
    </row>
    <row r="47" spans="1:39" ht="19" x14ac:dyDescent="0.25">
      <c r="A47" s="5" t="s">
        <v>39</v>
      </c>
      <c r="B47" s="1" t="s">
        <v>91</v>
      </c>
      <c r="C47" s="1">
        <v>510000</v>
      </c>
      <c r="D47" s="1">
        <v>2292000</v>
      </c>
      <c r="E47" s="1">
        <v>10268000</v>
      </c>
      <c r="F47" s="1">
        <v>20064000</v>
      </c>
      <c r="G47" s="1">
        <v>27558000</v>
      </c>
      <c r="H47" s="1">
        <v>460849000</v>
      </c>
      <c r="I47" s="1">
        <v>966573000</v>
      </c>
      <c r="J47" s="1">
        <v>1050012000</v>
      </c>
      <c r="K47" s="1">
        <v>849935000</v>
      </c>
      <c r="L47" s="1"/>
    </row>
    <row r="48" spans="1:39" ht="19" x14ac:dyDescent="0.25">
      <c r="A48" s="5" t="s">
        <v>40</v>
      </c>
      <c r="B48" s="1" t="s">
        <v>91</v>
      </c>
      <c r="C48" s="1">
        <v>510000</v>
      </c>
      <c r="D48" s="1">
        <v>5457000</v>
      </c>
      <c r="E48" s="1">
        <v>13833000</v>
      </c>
      <c r="F48" s="1">
        <v>37915000</v>
      </c>
      <c r="G48" s="1">
        <v>65723000</v>
      </c>
      <c r="H48" s="1">
        <v>2757633000</v>
      </c>
      <c r="I48" s="1">
        <v>5561967000</v>
      </c>
      <c r="J48" s="1">
        <v>6313178000</v>
      </c>
      <c r="K48" s="1">
        <v>6134088000</v>
      </c>
      <c r="L48" s="1"/>
    </row>
    <row r="49" spans="1:12" ht="19" x14ac:dyDescent="0.25">
      <c r="A49" s="5" t="s">
        <v>41</v>
      </c>
      <c r="B49" s="1" t="s">
        <v>91</v>
      </c>
      <c r="C49" s="1" t="s">
        <v>91</v>
      </c>
      <c r="D49" s="1" t="s">
        <v>91</v>
      </c>
      <c r="E49" s="1" t="s">
        <v>91</v>
      </c>
      <c r="F49" s="1" t="s">
        <v>91</v>
      </c>
      <c r="G49" s="1" t="s">
        <v>91</v>
      </c>
      <c r="H49" s="1" t="s">
        <v>91</v>
      </c>
      <c r="I49" s="1" t="s">
        <v>91</v>
      </c>
      <c r="J49" s="1" t="s">
        <v>91</v>
      </c>
      <c r="K49" s="1" t="s">
        <v>91</v>
      </c>
      <c r="L49" s="1"/>
    </row>
    <row r="50" spans="1:12" ht="19" x14ac:dyDescent="0.25">
      <c r="A50" s="5" t="s">
        <v>42</v>
      </c>
      <c r="B50" s="1" t="s">
        <v>91</v>
      </c>
      <c r="C50" s="1" t="s">
        <v>91</v>
      </c>
      <c r="D50" s="1" t="s">
        <v>91</v>
      </c>
      <c r="E50" s="1" t="s">
        <v>91</v>
      </c>
      <c r="F50" s="1" t="s">
        <v>91</v>
      </c>
      <c r="G50" s="1" t="s">
        <v>91</v>
      </c>
      <c r="H50" s="1" t="s">
        <v>91</v>
      </c>
      <c r="I50" s="1" t="s">
        <v>91</v>
      </c>
      <c r="J50" s="1" t="s">
        <v>91</v>
      </c>
      <c r="K50" s="1" t="s">
        <v>91</v>
      </c>
      <c r="L50" s="1"/>
    </row>
    <row r="51" spans="1:12" ht="19" x14ac:dyDescent="0.25">
      <c r="A51" s="5" t="s">
        <v>43</v>
      </c>
      <c r="B51" s="1" t="s">
        <v>91</v>
      </c>
      <c r="C51" s="1">
        <v>1364000</v>
      </c>
      <c r="D51" s="1">
        <v>1526000</v>
      </c>
      <c r="E51" s="1">
        <v>7929000</v>
      </c>
      <c r="F51" s="1">
        <v>8061000</v>
      </c>
      <c r="G51" s="1">
        <v>26505000</v>
      </c>
      <c r="H51" s="1">
        <v>33555000</v>
      </c>
      <c r="I51" s="1">
        <v>111282000</v>
      </c>
      <c r="J51" s="1">
        <v>263292000</v>
      </c>
      <c r="K51" s="1">
        <v>1060810000</v>
      </c>
      <c r="L51" s="1"/>
    </row>
    <row r="52" spans="1:12" ht="19" x14ac:dyDescent="0.25">
      <c r="A52" s="5" t="s">
        <v>44</v>
      </c>
      <c r="B52" s="1" t="s">
        <v>91</v>
      </c>
      <c r="C52" s="1">
        <v>8625000</v>
      </c>
      <c r="D52" s="1">
        <v>21041000</v>
      </c>
      <c r="E52" s="1">
        <v>59314000</v>
      </c>
      <c r="F52" s="1">
        <v>96517000</v>
      </c>
      <c r="G52" s="1">
        <v>155762000</v>
      </c>
      <c r="H52" s="1">
        <v>3089185000</v>
      </c>
      <c r="I52" s="1">
        <v>6115098000</v>
      </c>
      <c r="J52" s="1">
        <v>7066370000</v>
      </c>
      <c r="K52" s="1">
        <v>7580218000</v>
      </c>
      <c r="L52" s="1"/>
    </row>
    <row r="53" spans="1:12" ht="19" x14ac:dyDescent="0.25">
      <c r="A53" s="5" t="s">
        <v>45</v>
      </c>
      <c r="B53" s="1" t="s">
        <v>91</v>
      </c>
      <c r="C53" s="1" t="s">
        <v>91</v>
      </c>
      <c r="D53" s="1" t="s">
        <v>91</v>
      </c>
      <c r="E53" s="1" t="s">
        <v>91</v>
      </c>
      <c r="F53" s="1" t="s">
        <v>91</v>
      </c>
      <c r="G53" s="1" t="s">
        <v>91</v>
      </c>
      <c r="H53" s="1" t="s">
        <v>91</v>
      </c>
      <c r="I53" s="1" t="s">
        <v>91</v>
      </c>
      <c r="J53" s="1" t="s">
        <v>91</v>
      </c>
      <c r="K53" s="1" t="s">
        <v>91</v>
      </c>
      <c r="L53" s="1"/>
    </row>
    <row r="54" spans="1:12" ht="20" thickBot="1" x14ac:dyDescent="0.3">
      <c r="A54" s="7" t="s">
        <v>46</v>
      </c>
      <c r="B54" s="11" t="s">
        <v>91</v>
      </c>
      <c r="C54" s="11">
        <v>54974000</v>
      </c>
      <c r="D54" s="11">
        <v>157516000</v>
      </c>
      <c r="E54" s="11">
        <v>412694000</v>
      </c>
      <c r="F54" s="11">
        <v>449782000</v>
      </c>
      <c r="G54" s="11">
        <v>1028710000</v>
      </c>
      <c r="H54" s="11">
        <v>5150516000</v>
      </c>
      <c r="I54" s="11">
        <v>9487433000</v>
      </c>
      <c r="J54" s="11">
        <v>12998598000</v>
      </c>
      <c r="K54" s="11">
        <v>12564304000</v>
      </c>
      <c r="L54" s="11"/>
    </row>
    <row r="55" spans="1:12" ht="20" thickTop="1" x14ac:dyDescent="0.25">
      <c r="A55" s="5" t="s">
        <v>47</v>
      </c>
      <c r="B55" s="1" t="s">
        <v>91</v>
      </c>
      <c r="C55" s="1">
        <v>1227000</v>
      </c>
      <c r="D55" s="1">
        <v>2299000</v>
      </c>
      <c r="E55" s="1">
        <v>4174000</v>
      </c>
      <c r="F55" s="1">
        <v>11116000</v>
      </c>
      <c r="G55" s="1">
        <v>18495000</v>
      </c>
      <c r="H55" s="1">
        <v>39099000</v>
      </c>
      <c r="I55" s="1">
        <v>60042000</v>
      </c>
      <c r="J55" s="1">
        <v>93333000</v>
      </c>
      <c r="K55" s="1">
        <v>124605000</v>
      </c>
      <c r="L55" s="1"/>
    </row>
    <row r="56" spans="1:12" ht="19" x14ac:dyDescent="0.25">
      <c r="A56" s="5" t="s">
        <v>48</v>
      </c>
      <c r="B56" s="1" t="s">
        <v>91</v>
      </c>
      <c r="C56" s="1" t="s">
        <v>91</v>
      </c>
      <c r="D56" s="1" t="s">
        <v>91</v>
      </c>
      <c r="E56" s="1" t="s">
        <v>91</v>
      </c>
      <c r="F56" s="1" t="s">
        <v>91</v>
      </c>
      <c r="G56" s="1" t="s">
        <v>91</v>
      </c>
      <c r="H56" s="1">
        <v>34080000</v>
      </c>
      <c r="I56" s="1">
        <v>57400000</v>
      </c>
      <c r="J56" s="1">
        <v>64695000</v>
      </c>
      <c r="K56" s="1">
        <v>54222000</v>
      </c>
      <c r="L56" s="1"/>
    </row>
    <row r="57" spans="1:12" ht="19" x14ac:dyDescent="0.25">
      <c r="A57" s="5" t="s">
        <v>49</v>
      </c>
      <c r="B57" s="1" t="s">
        <v>91</v>
      </c>
      <c r="C57" s="1">
        <v>10312000</v>
      </c>
      <c r="D57" s="1">
        <v>17634000</v>
      </c>
      <c r="E57" s="1">
        <v>28795000</v>
      </c>
      <c r="F57" s="1">
        <v>20877000</v>
      </c>
      <c r="G57" s="1">
        <v>25848000</v>
      </c>
      <c r="H57" s="1">
        <v>33430000</v>
      </c>
      <c r="I57" s="1">
        <v>48390000</v>
      </c>
      <c r="J57" s="1">
        <v>61975000</v>
      </c>
      <c r="K57" s="1" t="s">
        <v>91</v>
      </c>
      <c r="L57" s="1"/>
    </row>
    <row r="58" spans="1:12" ht="19" x14ac:dyDescent="0.25">
      <c r="A58" s="5" t="s">
        <v>50</v>
      </c>
      <c r="B58" s="1" t="s">
        <v>91</v>
      </c>
      <c r="C58" s="1">
        <v>4173000</v>
      </c>
      <c r="D58" s="1">
        <v>6146000</v>
      </c>
      <c r="E58" s="1">
        <v>10222000</v>
      </c>
      <c r="F58" s="1">
        <v>13797000</v>
      </c>
      <c r="G58" s="1">
        <v>19557000</v>
      </c>
      <c r="H58" s="1">
        <v>26362000</v>
      </c>
      <c r="I58" s="1">
        <v>87031000</v>
      </c>
      <c r="J58" s="1">
        <v>140389000</v>
      </c>
      <c r="K58" s="1">
        <v>139110000</v>
      </c>
      <c r="L58" s="1"/>
    </row>
    <row r="59" spans="1:12" ht="19" x14ac:dyDescent="0.25">
      <c r="A59" s="5" t="s">
        <v>51</v>
      </c>
      <c r="B59" s="1" t="s">
        <v>91</v>
      </c>
      <c r="C59" s="1">
        <v>7486000</v>
      </c>
      <c r="D59" s="1">
        <v>14364000</v>
      </c>
      <c r="E59" s="1">
        <v>30513000</v>
      </c>
      <c r="F59" s="1">
        <v>32737000</v>
      </c>
      <c r="G59" s="1">
        <v>73910000</v>
      </c>
      <c r="H59" s="1">
        <v>114251000</v>
      </c>
      <c r="I59" s="1">
        <v>195443000</v>
      </c>
      <c r="J59" s="1">
        <v>343158000</v>
      </c>
      <c r="K59" s="1">
        <v>490221000</v>
      </c>
      <c r="L59" s="1"/>
    </row>
    <row r="60" spans="1:12" ht="19" x14ac:dyDescent="0.25">
      <c r="A60" s="6" t="s">
        <v>52</v>
      </c>
      <c r="B60" s="10" t="s">
        <v>91</v>
      </c>
      <c r="C60" s="10">
        <v>23198000</v>
      </c>
      <c r="D60" s="10">
        <v>40443000</v>
      </c>
      <c r="E60" s="10">
        <v>73704000</v>
      </c>
      <c r="F60" s="10">
        <v>78527000</v>
      </c>
      <c r="G60" s="10">
        <v>137810000</v>
      </c>
      <c r="H60" s="10">
        <v>247222000</v>
      </c>
      <c r="I60" s="10">
        <v>448306000</v>
      </c>
      <c r="J60" s="10">
        <v>703550000</v>
      </c>
      <c r="K60" s="10">
        <v>808158000</v>
      </c>
      <c r="L60" s="10"/>
    </row>
    <row r="61" spans="1:12" ht="19" x14ac:dyDescent="0.25">
      <c r="A61" s="5" t="s">
        <v>53</v>
      </c>
      <c r="B61" s="1" t="s">
        <v>91</v>
      </c>
      <c r="C61" s="1" t="s">
        <v>91</v>
      </c>
      <c r="D61" s="1" t="s">
        <v>91</v>
      </c>
      <c r="E61" s="1" t="s">
        <v>91</v>
      </c>
      <c r="F61" s="1" t="s">
        <v>91</v>
      </c>
      <c r="G61" s="1">
        <v>434496000</v>
      </c>
      <c r="H61" s="1">
        <v>458190000</v>
      </c>
      <c r="I61" s="1">
        <v>549829000</v>
      </c>
      <c r="J61" s="1">
        <v>1222292000</v>
      </c>
      <c r="K61" s="1">
        <v>1173223000</v>
      </c>
      <c r="L61" s="1"/>
    </row>
    <row r="62" spans="1:12" ht="19" x14ac:dyDescent="0.25">
      <c r="A62" s="5" t="s">
        <v>50</v>
      </c>
      <c r="B62" s="1" t="s">
        <v>91</v>
      </c>
      <c r="C62" s="1" t="s">
        <v>91</v>
      </c>
      <c r="D62" s="1" t="s">
        <v>91</v>
      </c>
      <c r="E62" s="1" t="s">
        <v>91</v>
      </c>
      <c r="F62" s="1" t="s">
        <v>91</v>
      </c>
      <c r="G62" s="1" t="s">
        <v>91</v>
      </c>
      <c r="H62" s="1" t="s">
        <v>91</v>
      </c>
      <c r="I62" s="1" t="s">
        <v>91</v>
      </c>
      <c r="J62" s="1" t="s">
        <v>91</v>
      </c>
      <c r="K62" s="1" t="s">
        <v>91</v>
      </c>
      <c r="L62" s="1"/>
    </row>
    <row r="63" spans="1:12" ht="19" x14ac:dyDescent="0.25">
      <c r="A63" s="5" t="s">
        <v>54</v>
      </c>
      <c r="B63" s="1" t="s">
        <v>91</v>
      </c>
      <c r="C63" s="1" t="s">
        <v>91</v>
      </c>
      <c r="D63" s="1" t="s">
        <v>91</v>
      </c>
      <c r="E63" s="1" t="s">
        <v>91</v>
      </c>
      <c r="F63" s="1">
        <v>2452000</v>
      </c>
      <c r="G63" s="1">
        <v>5181000</v>
      </c>
      <c r="H63" s="1">
        <v>7535000</v>
      </c>
      <c r="I63" s="1">
        <v>13684000</v>
      </c>
      <c r="J63" s="1" t="s">
        <v>91</v>
      </c>
      <c r="K63" s="1" t="s">
        <v>91</v>
      </c>
      <c r="L63" s="1"/>
    </row>
    <row r="64" spans="1:12" ht="19" x14ac:dyDescent="0.25">
      <c r="A64" s="5" t="s">
        <v>55</v>
      </c>
      <c r="B64" s="1" t="s">
        <v>91</v>
      </c>
      <c r="C64" s="1">
        <v>582000</v>
      </c>
      <c r="D64" s="1">
        <v>448000</v>
      </c>
      <c r="E64" s="1">
        <v>9543000</v>
      </c>
      <c r="F64" s="1">
        <v>8957000</v>
      </c>
      <c r="G64" s="1">
        <v>12988000</v>
      </c>
      <c r="H64" s="1">
        <v>158158000</v>
      </c>
      <c r="I64" s="1">
        <v>22949000</v>
      </c>
      <c r="J64" s="1">
        <v>41290000</v>
      </c>
      <c r="K64" s="1">
        <v>23881000</v>
      </c>
      <c r="L64" s="1"/>
    </row>
    <row r="65" spans="1:39" ht="19" x14ac:dyDescent="0.25">
      <c r="A65" s="5" t="s">
        <v>56</v>
      </c>
      <c r="B65" s="1" t="s">
        <v>91</v>
      </c>
      <c r="C65" s="1">
        <v>582000</v>
      </c>
      <c r="D65" s="1">
        <v>448000</v>
      </c>
      <c r="E65" s="1">
        <v>9543000</v>
      </c>
      <c r="F65" s="1">
        <v>11409000</v>
      </c>
      <c r="G65" s="1">
        <v>452665000</v>
      </c>
      <c r="H65" s="1">
        <v>623883000</v>
      </c>
      <c r="I65" s="1">
        <v>586462000</v>
      </c>
      <c r="J65" s="1">
        <v>1263582000</v>
      </c>
      <c r="K65" s="1">
        <v>1197104000</v>
      </c>
      <c r="L65" s="1"/>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39" ht="19" x14ac:dyDescent="0.25">
      <c r="A67" s="6" t="s">
        <v>58</v>
      </c>
      <c r="B67" s="10" t="s">
        <v>91</v>
      </c>
      <c r="C67" s="10">
        <v>23780000</v>
      </c>
      <c r="D67" s="10">
        <v>40891000</v>
      </c>
      <c r="E67" s="10">
        <v>83247000</v>
      </c>
      <c r="F67" s="10">
        <v>89936000</v>
      </c>
      <c r="G67" s="10">
        <v>590475000</v>
      </c>
      <c r="H67" s="10">
        <v>871105000</v>
      </c>
      <c r="I67" s="10">
        <v>1034768000</v>
      </c>
      <c r="J67" s="10">
        <v>1967132000</v>
      </c>
      <c r="K67" s="10">
        <v>2005262000</v>
      </c>
      <c r="L67" s="10"/>
    </row>
    <row r="68" spans="1:39" ht="19" x14ac:dyDescent="0.25">
      <c r="A68" s="5" t="s">
        <v>59</v>
      </c>
      <c r="B68" s="1" t="s">
        <v>91</v>
      </c>
      <c r="C68" s="1">
        <v>17000</v>
      </c>
      <c r="D68" s="1">
        <v>17000</v>
      </c>
      <c r="E68" s="1">
        <v>87000</v>
      </c>
      <c r="F68" s="1">
        <v>94000</v>
      </c>
      <c r="G68" s="1">
        <v>100000</v>
      </c>
      <c r="H68" s="1">
        <v>138000</v>
      </c>
      <c r="I68" s="1">
        <v>164000</v>
      </c>
      <c r="J68" s="1">
        <v>180000</v>
      </c>
      <c r="K68" s="1">
        <v>186000</v>
      </c>
      <c r="L68" s="1"/>
    </row>
    <row r="69" spans="1:39" ht="19" x14ac:dyDescent="0.25">
      <c r="A69" s="5" t="s">
        <v>60</v>
      </c>
      <c r="B69" s="1" t="s">
        <v>91</v>
      </c>
      <c r="C69" s="1">
        <v>-89434000</v>
      </c>
      <c r="D69" s="1">
        <v>-145406000</v>
      </c>
      <c r="E69" s="1">
        <v>-186730000</v>
      </c>
      <c r="F69" s="1">
        <v>-250438000</v>
      </c>
      <c r="G69" s="1">
        <v>-371674000</v>
      </c>
      <c r="H69" s="1">
        <v>-678812000</v>
      </c>
      <c r="I69" s="1">
        <v>-1169791000</v>
      </c>
      <c r="J69" s="1">
        <v>-2119691000</v>
      </c>
      <c r="K69" s="1">
        <v>-3375836000</v>
      </c>
      <c r="L69" s="1"/>
    </row>
    <row r="70" spans="1:39" ht="19" x14ac:dyDescent="0.25">
      <c r="A70" s="5" t="s">
        <v>61</v>
      </c>
      <c r="B70" s="1" t="s">
        <v>91</v>
      </c>
      <c r="C70" s="1">
        <v>-2624000</v>
      </c>
      <c r="D70" s="1">
        <v>-6350000</v>
      </c>
      <c r="E70" s="1">
        <v>-13445000</v>
      </c>
      <c r="F70" s="1">
        <v>2025000</v>
      </c>
      <c r="G70" s="1">
        <v>1282000</v>
      </c>
      <c r="H70" s="1">
        <v>5086000</v>
      </c>
      <c r="I70" s="1">
        <v>9046000</v>
      </c>
      <c r="J70" s="1">
        <v>-18141000</v>
      </c>
      <c r="K70" s="1">
        <v>-121161000</v>
      </c>
      <c r="L70" s="1"/>
    </row>
    <row r="71" spans="1:39" ht="19" x14ac:dyDescent="0.25">
      <c r="A71" s="5" t="s">
        <v>62</v>
      </c>
      <c r="B71" s="1" t="s">
        <v>91</v>
      </c>
      <c r="C71" s="1">
        <v>11544000</v>
      </c>
      <c r="D71" s="1">
        <v>28453000</v>
      </c>
      <c r="E71" s="1">
        <v>529535000</v>
      </c>
      <c r="F71" s="1">
        <v>608165000</v>
      </c>
      <c r="G71" s="1">
        <v>808527000</v>
      </c>
      <c r="H71" s="1">
        <v>4952999000</v>
      </c>
      <c r="I71" s="1">
        <v>9613246000</v>
      </c>
      <c r="J71" s="1">
        <v>13169118000</v>
      </c>
      <c r="K71" s="1">
        <v>14055853000</v>
      </c>
      <c r="L71" s="1"/>
    </row>
    <row r="72" spans="1:39" ht="19" x14ac:dyDescent="0.25">
      <c r="A72" s="6" t="s">
        <v>63</v>
      </c>
      <c r="B72" s="10" t="s">
        <v>91</v>
      </c>
      <c r="C72" s="10">
        <v>31194000</v>
      </c>
      <c r="D72" s="10">
        <v>116625000</v>
      </c>
      <c r="E72" s="10">
        <v>329447000</v>
      </c>
      <c r="F72" s="10">
        <v>359846000</v>
      </c>
      <c r="G72" s="10">
        <v>438235000</v>
      </c>
      <c r="H72" s="10">
        <v>4279411000</v>
      </c>
      <c r="I72" s="10">
        <v>8452665000</v>
      </c>
      <c r="J72" s="10">
        <v>11031466000</v>
      </c>
      <c r="K72" s="10">
        <v>10559042000</v>
      </c>
      <c r="L72" s="10"/>
    </row>
    <row r="73" spans="1:39" ht="20" thickBot="1" x14ac:dyDescent="0.3">
      <c r="A73" s="7" t="s">
        <v>64</v>
      </c>
      <c r="B73" s="11" t="s">
        <v>91</v>
      </c>
      <c r="C73" s="11">
        <v>54974000</v>
      </c>
      <c r="D73" s="11">
        <v>157516000</v>
      </c>
      <c r="E73" s="11">
        <v>412694000</v>
      </c>
      <c r="F73" s="11">
        <v>449782000</v>
      </c>
      <c r="G73" s="11">
        <v>1028710000</v>
      </c>
      <c r="H73" s="11">
        <v>5150516000</v>
      </c>
      <c r="I73" s="11">
        <v>9487433000</v>
      </c>
      <c r="J73" s="11">
        <v>12998598000</v>
      </c>
      <c r="K73" s="11">
        <v>12564304000</v>
      </c>
      <c r="L73" s="11"/>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39" ht="19" x14ac:dyDescent="0.25">
      <c r="A76" s="5" t="s">
        <v>66</v>
      </c>
      <c r="B76" s="1">
        <v>-26854000</v>
      </c>
      <c r="C76" s="1">
        <v>-26758000</v>
      </c>
      <c r="D76" s="1">
        <v>-35504000</v>
      </c>
      <c r="E76" s="1">
        <v>-41324000</v>
      </c>
      <c r="F76" s="1">
        <v>-63708000</v>
      </c>
      <c r="G76" s="1">
        <v>-121949000</v>
      </c>
      <c r="H76" s="1">
        <v>-307063000</v>
      </c>
      <c r="I76" s="1">
        <v>-490979000</v>
      </c>
      <c r="J76" s="1">
        <v>-949900000</v>
      </c>
      <c r="K76" s="1">
        <v>-1256145000</v>
      </c>
      <c r="L76" s="1"/>
    </row>
    <row r="77" spans="1:39" ht="19" x14ac:dyDescent="0.25">
      <c r="A77" s="5" t="s">
        <v>13</v>
      </c>
      <c r="B77" s="1">
        <v>610000</v>
      </c>
      <c r="C77" s="1">
        <v>1756000</v>
      </c>
      <c r="D77" s="1">
        <v>4226000</v>
      </c>
      <c r="E77" s="1">
        <v>8315000</v>
      </c>
      <c r="F77" s="1">
        <v>18764000</v>
      </c>
      <c r="G77" s="1">
        <v>26095000</v>
      </c>
      <c r="H77" s="1">
        <v>133623000</v>
      </c>
      <c r="I77" s="1">
        <v>149660000</v>
      </c>
      <c r="J77" s="1">
        <v>258378000</v>
      </c>
      <c r="K77" s="1">
        <v>312292000</v>
      </c>
      <c r="L77" s="1"/>
    </row>
    <row r="78" spans="1:39" ht="19" x14ac:dyDescent="0.25">
      <c r="A78" s="5" t="s">
        <v>67</v>
      </c>
      <c r="B78" s="1" t="s">
        <v>91</v>
      </c>
      <c r="C78" s="1" t="s">
        <v>91</v>
      </c>
      <c r="D78" s="1">
        <v>-108000</v>
      </c>
      <c r="E78" s="1" t="s">
        <v>91</v>
      </c>
      <c r="F78" s="1" t="s">
        <v>91</v>
      </c>
      <c r="G78" s="1" t="s">
        <v>91</v>
      </c>
      <c r="H78" s="1">
        <v>-55745000</v>
      </c>
      <c r="I78" s="1">
        <v>-16459000</v>
      </c>
      <c r="J78" s="1">
        <v>-17236000</v>
      </c>
      <c r="K78" s="1" t="s">
        <v>91</v>
      </c>
      <c r="L78" s="1"/>
    </row>
    <row r="79" spans="1:39" ht="19" x14ac:dyDescent="0.25">
      <c r="A79" s="5" t="s">
        <v>68</v>
      </c>
      <c r="B79" s="1">
        <v>2157000</v>
      </c>
      <c r="C79" s="1">
        <v>3978000</v>
      </c>
      <c r="D79" s="1">
        <v>8877000</v>
      </c>
      <c r="E79" s="1">
        <v>24225000</v>
      </c>
      <c r="F79" s="1">
        <v>49619000</v>
      </c>
      <c r="G79" s="1">
        <v>93273000</v>
      </c>
      <c r="H79" s="1">
        <v>264318000</v>
      </c>
      <c r="I79" s="1">
        <v>360936000</v>
      </c>
      <c r="J79" s="1">
        <v>632285000</v>
      </c>
      <c r="K79" s="1">
        <v>798560000</v>
      </c>
      <c r="L79" s="1"/>
    </row>
    <row r="80" spans="1:39" ht="19" x14ac:dyDescent="0.25">
      <c r="A80" s="14" t="s">
        <v>103</v>
      </c>
      <c r="B80" s="15">
        <f t="shared" ref="B80:K80" si="19">B79/B3</f>
        <v>4.3209134615384615E-2</v>
      </c>
      <c r="C80" s="15">
        <f t="shared" si="19"/>
        <v>4.4774103504941133E-2</v>
      </c>
      <c r="D80" s="15">
        <f t="shared" si="19"/>
        <v>5.3181483234383146E-2</v>
      </c>
      <c r="E80" s="15">
        <f t="shared" si="19"/>
        <v>8.7349234680080046E-2</v>
      </c>
      <c r="F80" s="15">
        <f t="shared" si="19"/>
        <v>0.1243521627988572</v>
      </c>
      <c r="G80" s="15">
        <f t="shared" si="19"/>
        <v>0.14348213338009774</v>
      </c>
      <c r="H80" s="15">
        <f t="shared" si="19"/>
        <v>0.23298850209966257</v>
      </c>
      <c r="I80" s="15">
        <f t="shared" si="19"/>
        <v>0.20487053972809255</v>
      </c>
      <c r="J80" s="15">
        <f t="shared" si="19"/>
        <v>0.22249149230480686</v>
      </c>
      <c r="K80" s="15">
        <f t="shared" si="19"/>
        <v>0.20870177907185519</v>
      </c>
      <c r="L80" s="15"/>
      <c r="M80" s="15"/>
      <c r="N80" s="15"/>
      <c r="O80" s="15"/>
      <c r="P80" s="15"/>
      <c r="Q80" s="15"/>
      <c r="R80" s="15"/>
      <c r="S80" s="15"/>
      <c r="T80" s="15"/>
      <c r="U80" s="15"/>
      <c r="AI80" s="15"/>
      <c r="AJ80" s="15"/>
      <c r="AK80" s="15"/>
      <c r="AL80" s="15"/>
      <c r="AM80" s="15"/>
    </row>
    <row r="81" spans="1:47" ht="19" x14ac:dyDescent="0.25">
      <c r="A81" s="5" t="s">
        <v>69</v>
      </c>
      <c r="B81" s="1">
        <v>1252000</v>
      </c>
      <c r="C81" s="1">
        <v>3403000</v>
      </c>
      <c r="D81" s="1">
        <v>2929000</v>
      </c>
      <c r="E81" s="1">
        <v>16925000</v>
      </c>
      <c r="F81" s="1">
        <v>-10215000</v>
      </c>
      <c r="G81" s="1">
        <v>-14817000</v>
      </c>
      <c r="H81" s="1">
        <v>-47956000</v>
      </c>
      <c r="I81" s="1">
        <v>-97387000</v>
      </c>
      <c r="J81" s="1">
        <v>-185113000</v>
      </c>
      <c r="K81" s="1">
        <v>-109075000</v>
      </c>
      <c r="L81" s="1"/>
    </row>
    <row r="82" spans="1:47" ht="19" x14ac:dyDescent="0.25">
      <c r="A82" s="5" t="s">
        <v>70</v>
      </c>
      <c r="B82" s="1">
        <v>-3239000</v>
      </c>
      <c r="C82" s="1">
        <v>-4300000</v>
      </c>
      <c r="D82" s="1">
        <v>-10506000</v>
      </c>
      <c r="E82" s="1">
        <v>-8254000</v>
      </c>
      <c r="F82" s="1">
        <v>-15280000</v>
      </c>
      <c r="G82" s="1">
        <v>-58234000</v>
      </c>
      <c r="H82" s="1">
        <v>-51357000</v>
      </c>
      <c r="I82" s="1">
        <v>-81303000</v>
      </c>
      <c r="J82" s="1">
        <v>-117943000</v>
      </c>
      <c r="K82" s="1">
        <v>-194655000</v>
      </c>
      <c r="L82" s="1"/>
    </row>
    <row r="83" spans="1:47" ht="19" x14ac:dyDescent="0.25">
      <c r="A83" s="5" t="s">
        <v>34</v>
      </c>
      <c r="B83" s="1" t="s">
        <v>91</v>
      </c>
      <c r="C83" s="1" t="s">
        <v>91</v>
      </c>
      <c r="D83" s="1" t="s">
        <v>91</v>
      </c>
      <c r="E83" s="1" t="s">
        <v>91</v>
      </c>
      <c r="F83" s="1" t="s">
        <v>91</v>
      </c>
      <c r="G83" s="1" t="s">
        <v>91</v>
      </c>
      <c r="H83" s="1" t="s">
        <v>91</v>
      </c>
      <c r="I83" s="1" t="s">
        <v>91</v>
      </c>
      <c r="J83" s="1" t="s">
        <v>91</v>
      </c>
      <c r="K83" s="1" t="s">
        <v>91</v>
      </c>
      <c r="L83" s="1"/>
    </row>
    <row r="84" spans="1:47" ht="19" customHeight="1" x14ac:dyDescent="0.25">
      <c r="A84" s="5" t="s">
        <v>47</v>
      </c>
      <c r="B84" s="1">
        <v>-1401000</v>
      </c>
      <c r="C84" s="1">
        <v>1227000</v>
      </c>
      <c r="D84" s="1">
        <v>658000</v>
      </c>
      <c r="E84" s="1">
        <v>1714000</v>
      </c>
      <c r="F84" s="1">
        <v>5433000</v>
      </c>
      <c r="G84" s="1">
        <v>6980000</v>
      </c>
      <c r="H84" s="1">
        <v>17255000</v>
      </c>
      <c r="I84" s="1">
        <v>10060000</v>
      </c>
      <c r="J84" s="1">
        <v>10191000</v>
      </c>
      <c r="K84" s="1">
        <v>30336000</v>
      </c>
      <c r="L84" s="1"/>
      <c r="M84" s="51"/>
      <c r="N84" s="51"/>
      <c r="O84" s="51"/>
      <c r="P84" s="51"/>
      <c r="Q84" s="51"/>
      <c r="R84" s="51"/>
      <c r="S84" s="78" t="s">
        <v>124</v>
      </c>
      <c r="T84" s="79"/>
    </row>
    <row r="85" spans="1:47" ht="19" customHeight="1" x14ac:dyDescent="0.25">
      <c r="A85" s="5" t="s">
        <v>71</v>
      </c>
      <c r="B85" s="1">
        <v>1014000</v>
      </c>
      <c r="C85" s="1">
        <v>1632000</v>
      </c>
      <c r="D85" s="1">
        <v>1974000</v>
      </c>
      <c r="E85" s="1">
        <v>4076000</v>
      </c>
      <c r="F85" s="1">
        <v>3560000</v>
      </c>
      <c r="G85" s="1">
        <v>5958000</v>
      </c>
      <c r="H85" s="1">
        <v>2968000</v>
      </c>
      <c r="I85" s="1">
        <v>13824000</v>
      </c>
      <c r="J85" s="1">
        <v>45634000</v>
      </c>
      <c r="K85" s="1" t="s">
        <v>91</v>
      </c>
      <c r="L85" s="1"/>
      <c r="M85" s="51"/>
      <c r="N85" s="51"/>
      <c r="O85" s="51"/>
      <c r="P85" s="51"/>
      <c r="Q85" s="51"/>
      <c r="R85" s="51"/>
      <c r="S85" s="80" t="s">
        <v>125</v>
      </c>
      <c r="T85" s="80"/>
    </row>
    <row r="86" spans="1:47" ht="20" x14ac:dyDescent="0.25">
      <c r="A86" s="5" t="s">
        <v>72</v>
      </c>
      <c r="B86" s="1">
        <v>213000</v>
      </c>
      <c r="C86" s="1">
        <v>261000</v>
      </c>
      <c r="D86" s="1">
        <v>818000</v>
      </c>
      <c r="E86" s="1">
        <v>1950000</v>
      </c>
      <c r="F86" s="1">
        <v>2280000</v>
      </c>
      <c r="G86" s="1">
        <v>25381000</v>
      </c>
      <c r="H86" s="1">
        <v>26871000</v>
      </c>
      <c r="I86" s="1">
        <v>126883000</v>
      </c>
      <c r="J86" s="1">
        <v>203394000</v>
      </c>
      <c r="K86" s="1" t="s">
        <v>91</v>
      </c>
      <c r="L86" s="1"/>
      <c r="M86" s="51"/>
      <c r="N86" s="51"/>
      <c r="O86" s="51"/>
      <c r="P86" s="51"/>
      <c r="Q86" s="51"/>
      <c r="R86" s="51"/>
      <c r="S86" s="43" t="s">
        <v>126</v>
      </c>
      <c r="T86" s="62">
        <f>K17</f>
        <v>0</v>
      </c>
    </row>
    <row r="87" spans="1:47" ht="20" x14ac:dyDescent="0.25">
      <c r="A87" s="6" t="s">
        <v>73</v>
      </c>
      <c r="B87" s="10">
        <v>-22622000</v>
      </c>
      <c r="C87" s="10">
        <v>-17360000</v>
      </c>
      <c r="D87" s="10">
        <v>-18762000</v>
      </c>
      <c r="E87" s="10">
        <v>10091000</v>
      </c>
      <c r="F87" s="10">
        <v>-3260000</v>
      </c>
      <c r="G87" s="10">
        <v>7983000</v>
      </c>
      <c r="H87" s="10">
        <v>14048000</v>
      </c>
      <c r="I87" s="10">
        <v>32654000</v>
      </c>
      <c r="J87" s="10">
        <v>-58192000</v>
      </c>
      <c r="K87" s="10">
        <v>-254368000</v>
      </c>
      <c r="L87" s="10"/>
      <c r="M87" s="51"/>
      <c r="N87" s="51"/>
      <c r="O87" s="51"/>
      <c r="P87" s="51"/>
      <c r="Q87" s="51"/>
      <c r="R87" s="51"/>
      <c r="S87" s="43" t="s">
        <v>127</v>
      </c>
      <c r="T87" s="62">
        <f>K56</f>
        <v>54222000</v>
      </c>
    </row>
    <row r="88" spans="1:47" ht="20" x14ac:dyDescent="0.25">
      <c r="A88" s="5" t="s">
        <v>74</v>
      </c>
      <c r="B88" s="1">
        <v>-3452000</v>
      </c>
      <c r="C88" s="1">
        <v>-5170000</v>
      </c>
      <c r="D88" s="1">
        <v>-10618000</v>
      </c>
      <c r="E88" s="1">
        <v>-26486000</v>
      </c>
      <c r="F88" s="1">
        <v>-26818000</v>
      </c>
      <c r="G88" s="1">
        <v>-24655000</v>
      </c>
      <c r="H88" s="1">
        <v>-67290000</v>
      </c>
      <c r="I88" s="1">
        <v>-25805000</v>
      </c>
      <c r="J88" s="1">
        <v>-46048000</v>
      </c>
      <c r="K88" s="1">
        <v>-80182000</v>
      </c>
      <c r="L88" s="1"/>
      <c r="M88" s="51"/>
      <c r="N88" s="51"/>
      <c r="O88" s="51"/>
      <c r="P88" s="51"/>
      <c r="Q88" s="51"/>
      <c r="R88" s="51"/>
      <c r="S88" s="43" t="s">
        <v>128</v>
      </c>
      <c r="T88" s="62">
        <f>K61</f>
        <v>1173223000</v>
      </c>
    </row>
    <row r="89" spans="1:47" ht="20" customHeight="1" x14ac:dyDescent="0.25">
      <c r="A89" s="14" t="s">
        <v>104</v>
      </c>
      <c r="B89" s="15">
        <f t="shared" ref="B89:K89" si="20">(-1*B88)/B3</f>
        <v>6.915064102564103E-2</v>
      </c>
      <c r="C89" s="15">
        <f t="shared" si="20"/>
        <v>5.8190576953380008E-2</v>
      </c>
      <c r="D89" s="15">
        <f t="shared" si="20"/>
        <v>6.3611691898465716E-2</v>
      </c>
      <c r="E89" s="15">
        <f t="shared" si="20"/>
        <v>9.5501829916887521E-2</v>
      </c>
      <c r="F89" s="15">
        <f t="shared" si="20"/>
        <v>6.7209663676006212E-2</v>
      </c>
      <c r="G89" s="15">
        <f t="shared" si="20"/>
        <v>3.7926859846754257E-2</v>
      </c>
      <c r="H89" s="15">
        <f t="shared" si="20"/>
        <v>5.9314145484932142E-2</v>
      </c>
      <c r="I89" s="15">
        <f t="shared" si="20"/>
        <v>1.4647151510748245E-2</v>
      </c>
      <c r="J89" s="15">
        <f t="shared" si="20"/>
        <v>1.6203592110601621E-2</v>
      </c>
      <c r="K89" s="15">
        <f t="shared" si="20"/>
        <v>2.0955377240958091E-2</v>
      </c>
      <c r="L89" s="15"/>
      <c r="M89" s="51"/>
      <c r="N89" s="51"/>
      <c r="O89" s="51"/>
      <c r="P89" s="51"/>
      <c r="Q89" s="51"/>
      <c r="R89" s="51"/>
      <c r="S89" s="44" t="s">
        <v>129</v>
      </c>
      <c r="T89" s="63">
        <f>T86/(T87+T88)</f>
        <v>0</v>
      </c>
      <c r="U89" s="15"/>
      <c r="AI89" s="15"/>
      <c r="AJ89" s="15"/>
      <c r="AK89" s="15"/>
      <c r="AL89" s="15"/>
      <c r="AM89" s="15"/>
      <c r="AT89" s="22" t="s">
        <v>105</v>
      </c>
      <c r="AU89" s="23">
        <f>AM27</f>
        <v>0</v>
      </c>
    </row>
    <row r="90" spans="1:47" ht="20" x14ac:dyDescent="0.25">
      <c r="A90" s="5" t="s">
        <v>75</v>
      </c>
      <c r="B90" s="1" t="s">
        <v>91</v>
      </c>
      <c r="C90" s="1" t="s">
        <v>91</v>
      </c>
      <c r="D90" s="1">
        <v>-1761000</v>
      </c>
      <c r="E90" s="1">
        <v>-8500000</v>
      </c>
      <c r="F90" s="1">
        <v>-22621000</v>
      </c>
      <c r="G90" s="1">
        <v>-30574000</v>
      </c>
      <c r="H90" s="1">
        <v>122749000</v>
      </c>
      <c r="I90" s="1">
        <v>-333591000</v>
      </c>
      <c r="J90" s="1">
        <v>-491522000</v>
      </c>
      <c r="K90" s="1">
        <v>-37410000</v>
      </c>
      <c r="L90" s="1"/>
      <c r="M90" s="51"/>
      <c r="N90" s="51"/>
      <c r="O90" s="51"/>
      <c r="P90" s="51"/>
      <c r="Q90" s="51"/>
      <c r="R90" s="51"/>
      <c r="S90" s="43" t="s">
        <v>105</v>
      </c>
      <c r="T90" s="62">
        <f>K27</f>
        <v>12513000</v>
      </c>
    </row>
    <row r="91" spans="1:47" ht="20" x14ac:dyDescent="0.25">
      <c r="A91" s="5" t="s">
        <v>76</v>
      </c>
      <c r="B91" s="1" t="s">
        <v>91</v>
      </c>
      <c r="C91" s="1" t="s">
        <v>91</v>
      </c>
      <c r="D91" s="1" t="s">
        <v>91</v>
      </c>
      <c r="E91" s="1" t="s">
        <v>91</v>
      </c>
      <c r="F91" s="1">
        <v>-293186000</v>
      </c>
      <c r="G91" s="1">
        <v>-279687000</v>
      </c>
      <c r="H91" s="1">
        <v>-2038422000</v>
      </c>
      <c r="I91" s="1">
        <v>-1636590000</v>
      </c>
      <c r="J91" s="1">
        <v>-3523232000</v>
      </c>
      <c r="K91" s="1">
        <v>-1938337000</v>
      </c>
      <c r="L91" s="1"/>
      <c r="M91" s="51"/>
      <c r="N91" s="51"/>
      <c r="O91" s="51"/>
      <c r="P91" s="51"/>
      <c r="Q91" s="51"/>
      <c r="R91" s="51"/>
      <c r="S91" s="43" t="s">
        <v>19</v>
      </c>
      <c r="T91" s="62">
        <f>K25</f>
        <v>-1243632000</v>
      </c>
    </row>
    <row r="92" spans="1:47" ht="20" x14ac:dyDescent="0.25">
      <c r="A92" s="5" t="s">
        <v>77</v>
      </c>
      <c r="B92" s="1">
        <v>3000000</v>
      </c>
      <c r="C92" s="1" t="s">
        <v>91</v>
      </c>
      <c r="D92" s="1" t="s">
        <v>91</v>
      </c>
      <c r="E92" s="1" t="s">
        <v>91</v>
      </c>
      <c r="F92" s="1">
        <v>115877000</v>
      </c>
      <c r="G92" s="1">
        <v>195497000</v>
      </c>
      <c r="H92" s="1">
        <v>697171000</v>
      </c>
      <c r="I92" s="1">
        <v>1183459000</v>
      </c>
      <c r="J92" s="1">
        <v>1614779000</v>
      </c>
      <c r="K92" s="1">
        <v>1439477000</v>
      </c>
      <c r="L92" s="1"/>
      <c r="M92" s="51"/>
      <c r="N92" s="51"/>
      <c r="O92" s="51"/>
      <c r="P92" s="51"/>
      <c r="Q92" s="51"/>
      <c r="R92" s="51"/>
      <c r="S92" s="44" t="s">
        <v>130</v>
      </c>
      <c r="T92" s="63">
        <f>T90/T91</f>
        <v>-1.0061658111081092E-2</v>
      </c>
    </row>
    <row r="93" spans="1:47" ht="19" customHeight="1" x14ac:dyDescent="0.25">
      <c r="A93" s="5" t="s">
        <v>78</v>
      </c>
      <c r="B93" s="1" t="s">
        <v>91</v>
      </c>
      <c r="C93" s="1">
        <v>-170000</v>
      </c>
      <c r="D93" s="1" t="s">
        <v>91</v>
      </c>
      <c r="E93" s="1">
        <v>-7439000</v>
      </c>
      <c r="F93" s="1">
        <v>3118000</v>
      </c>
      <c r="G93" s="1" t="s">
        <v>91</v>
      </c>
      <c r="H93" s="1" t="s">
        <v>91</v>
      </c>
      <c r="I93" s="1">
        <v>-33328000</v>
      </c>
      <c r="J93" s="1">
        <v>-43973000</v>
      </c>
      <c r="K93" s="1">
        <v>-80182000</v>
      </c>
      <c r="L93" s="1"/>
      <c r="M93" s="51"/>
      <c r="N93" s="51"/>
      <c r="O93" s="51"/>
      <c r="P93" s="51"/>
      <c r="Q93" s="51"/>
      <c r="R93" s="51"/>
      <c r="S93" s="44" t="s">
        <v>131</v>
      </c>
      <c r="T93" s="63">
        <f>T89*(1-T92)</f>
        <v>0</v>
      </c>
    </row>
    <row r="94" spans="1:47" ht="19" customHeight="1" x14ac:dyDescent="0.25">
      <c r="A94" s="6" t="s">
        <v>79</v>
      </c>
      <c r="B94" s="10">
        <v>-452000</v>
      </c>
      <c r="C94" s="10">
        <v>-5340000</v>
      </c>
      <c r="D94" s="10">
        <v>-12379000</v>
      </c>
      <c r="E94" s="10">
        <v>-42425000</v>
      </c>
      <c r="F94" s="10">
        <v>-223630000</v>
      </c>
      <c r="G94" s="10">
        <v>-139419000</v>
      </c>
      <c r="H94" s="10">
        <v>-1285792000</v>
      </c>
      <c r="I94" s="10">
        <v>-845855000</v>
      </c>
      <c r="J94" s="10">
        <v>-2489996000</v>
      </c>
      <c r="K94" s="10">
        <v>-616452000</v>
      </c>
      <c r="L94" s="10"/>
      <c r="M94" s="51"/>
      <c r="N94" s="51"/>
      <c r="O94" s="51"/>
      <c r="P94" s="51"/>
      <c r="Q94" s="51"/>
      <c r="R94" s="51"/>
      <c r="S94" s="80" t="s">
        <v>132</v>
      </c>
      <c r="T94" s="80"/>
    </row>
    <row r="95" spans="1:47" ht="20" x14ac:dyDescent="0.25">
      <c r="A95" s="5" t="s">
        <v>80</v>
      </c>
      <c r="B95" s="1" t="s">
        <v>91</v>
      </c>
      <c r="C95" s="1" t="s">
        <v>91</v>
      </c>
      <c r="D95" s="1" t="s">
        <v>91</v>
      </c>
      <c r="E95" s="1" t="s">
        <v>91</v>
      </c>
      <c r="F95" s="1" t="s">
        <v>91</v>
      </c>
      <c r="G95" s="1" t="s">
        <v>91</v>
      </c>
      <c r="H95" s="1">
        <v>-11046000</v>
      </c>
      <c r="I95" s="1">
        <v>-10784000</v>
      </c>
      <c r="J95" s="1">
        <v>-8295000</v>
      </c>
      <c r="K95" s="1">
        <v>-13423000</v>
      </c>
      <c r="L95" s="1"/>
      <c r="M95" s="51"/>
      <c r="N95" s="51"/>
      <c r="O95" s="51"/>
      <c r="P95" s="51"/>
      <c r="Q95" s="51"/>
      <c r="R95" s="51"/>
      <c r="S95" s="43" t="s">
        <v>133</v>
      </c>
      <c r="T95" s="64">
        <f>'[1]US Treasury Bonds'!$C$8</f>
        <v>4.845E-2</v>
      </c>
    </row>
    <row r="96" spans="1:47" ht="20" x14ac:dyDescent="0.25">
      <c r="A96" s="5" t="s">
        <v>81</v>
      </c>
      <c r="B96" s="1" t="s">
        <v>91</v>
      </c>
      <c r="C96" s="1" t="s">
        <v>91</v>
      </c>
      <c r="D96" s="1" t="s">
        <v>91</v>
      </c>
      <c r="E96" s="1">
        <v>225707000</v>
      </c>
      <c r="F96" s="1" t="s">
        <v>91</v>
      </c>
      <c r="G96" s="1" t="s">
        <v>91</v>
      </c>
      <c r="H96" s="1">
        <v>980000000</v>
      </c>
      <c r="I96" s="1">
        <v>1408113000</v>
      </c>
      <c r="J96" s="1">
        <v>1765713000</v>
      </c>
      <c r="K96" s="1" t="s">
        <v>91</v>
      </c>
      <c r="L96" s="1"/>
      <c r="M96" s="51"/>
      <c r="N96" s="51"/>
      <c r="O96" s="51"/>
      <c r="P96" s="51"/>
      <c r="Q96" s="51"/>
      <c r="R96" s="51"/>
      <c r="S96" s="43" t="s">
        <v>134</v>
      </c>
      <c r="T96" s="65" cm="1">
        <f t="array" ref="T96">_FV(A1,"Beta")</f>
        <v>1.3469</v>
      </c>
    </row>
    <row r="97" spans="1:47" ht="20" x14ac:dyDescent="0.25">
      <c r="A97" s="5" t="s">
        <v>82</v>
      </c>
      <c r="B97" s="1">
        <v>-5069000</v>
      </c>
      <c r="C97" s="1">
        <v>-4000</v>
      </c>
      <c r="D97" s="1">
        <v>-20810000</v>
      </c>
      <c r="E97" s="1">
        <v>-2000</v>
      </c>
      <c r="F97" s="1">
        <v>-100000</v>
      </c>
      <c r="G97" s="1" t="s">
        <v>91</v>
      </c>
      <c r="H97" s="1" t="s">
        <v>91</v>
      </c>
      <c r="I97" s="1" t="s">
        <v>91</v>
      </c>
      <c r="J97" s="1" t="s">
        <v>91</v>
      </c>
      <c r="K97" s="1" t="s">
        <v>91</v>
      </c>
      <c r="L97" s="1"/>
      <c r="M97" s="51"/>
      <c r="N97" s="51"/>
      <c r="O97" s="51"/>
      <c r="P97" s="51"/>
      <c r="Q97" s="51"/>
      <c r="R97" s="51"/>
      <c r="S97" s="43" t="s">
        <v>135</v>
      </c>
      <c r="T97" s="64">
        <v>8.4000000000000005E-2</v>
      </c>
    </row>
    <row r="98" spans="1:47" ht="19" customHeight="1" x14ac:dyDescent="0.25">
      <c r="A98" s="5" t="s">
        <v>83</v>
      </c>
      <c r="B98" s="1" t="s">
        <v>91</v>
      </c>
      <c r="C98" s="1" t="s">
        <v>91</v>
      </c>
      <c r="D98" s="1" t="s">
        <v>91</v>
      </c>
      <c r="E98" s="1" t="s">
        <v>91</v>
      </c>
      <c r="F98" s="1" t="s">
        <v>91</v>
      </c>
      <c r="G98" s="1" t="s">
        <v>91</v>
      </c>
      <c r="H98" s="1" t="s">
        <v>91</v>
      </c>
      <c r="I98" s="1" t="s">
        <v>91</v>
      </c>
      <c r="J98" s="1" t="s">
        <v>91</v>
      </c>
      <c r="K98" s="1" t="s">
        <v>91</v>
      </c>
      <c r="L98" s="1"/>
      <c r="M98" s="51"/>
      <c r="N98" s="51"/>
      <c r="O98" s="51"/>
      <c r="P98" s="51"/>
      <c r="Q98" s="51"/>
      <c r="R98" s="51"/>
      <c r="S98" s="44" t="s">
        <v>136</v>
      </c>
      <c r="T98" s="63">
        <f>(T95)+((T96)*(T97-T95))</f>
        <v>9.6332295000000012E-2</v>
      </c>
    </row>
    <row r="99" spans="1:47" ht="19" customHeight="1" x14ac:dyDescent="0.25">
      <c r="A99" s="5" t="s">
        <v>84</v>
      </c>
      <c r="B99" s="1">
        <v>70681000</v>
      </c>
      <c r="C99" s="1">
        <v>616000</v>
      </c>
      <c r="D99" s="1">
        <v>128159000</v>
      </c>
      <c r="E99" s="1">
        <v>3459000</v>
      </c>
      <c r="F99" s="1">
        <v>36537000</v>
      </c>
      <c r="G99" s="1">
        <v>515819000</v>
      </c>
      <c r="H99" s="1">
        <v>51191000</v>
      </c>
      <c r="I99" s="1">
        <v>95982000</v>
      </c>
      <c r="J99" s="1">
        <v>1338907000</v>
      </c>
      <c r="K99" s="1">
        <v>58430000</v>
      </c>
      <c r="L99" s="1"/>
      <c r="M99" s="51"/>
      <c r="N99" s="51"/>
      <c r="O99" s="51"/>
      <c r="P99" s="51"/>
      <c r="Q99" s="51"/>
      <c r="R99" s="51"/>
      <c r="S99" s="80" t="s">
        <v>137</v>
      </c>
      <c r="T99" s="80"/>
    </row>
    <row r="100" spans="1:47" ht="20" x14ac:dyDescent="0.25">
      <c r="A100" s="6" t="s">
        <v>85</v>
      </c>
      <c r="B100" s="10">
        <v>65612000</v>
      </c>
      <c r="C100" s="10">
        <v>612000</v>
      </c>
      <c r="D100" s="10">
        <v>107349000</v>
      </c>
      <c r="E100" s="10">
        <v>229164000</v>
      </c>
      <c r="F100" s="10">
        <v>36437000</v>
      </c>
      <c r="G100" s="10">
        <v>515819000</v>
      </c>
      <c r="H100" s="10">
        <v>1020145000</v>
      </c>
      <c r="I100" s="10">
        <v>1493311000</v>
      </c>
      <c r="J100" s="10">
        <v>3096325000</v>
      </c>
      <c r="K100" s="10">
        <v>45007000</v>
      </c>
      <c r="L100" s="10"/>
      <c r="M100" s="51"/>
      <c r="N100" s="51"/>
      <c r="O100" s="51"/>
      <c r="P100" s="51"/>
      <c r="Q100" s="51"/>
      <c r="R100" s="51"/>
      <c r="S100" s="43" t="s">
        <v>138</v>
      </c>
      <c r="T100" s="62">
        <f>T87+T88</f>
        <v>1227445000</v>
      </c>
    </row>
    <row r="101" spans="1:47" ht="20" x14ac:dyDescent="0.25">
      <c r="A101" s="5" t="s">
        <v>86</v>
      </c>
      <c r="B101" s="1" t="s">
        <v>91</v>
      </c>
      <c r="C101" s="1" t="s">
        <v>91</v>
      </c>
      <c r="D101" s="1" t="s">
        <v>91</v>
      </c>
      <c r="E101" s="1" t="s">
        <v>91</v>
      </c>
      <c r="F101" s="1">
        <v>74000</v>
      </c>
      <c r="G101" s="1">
        <v>163000</v>
      </c>
      <c r="H101" s="1" t="s">
        <v>91</v>
      </c>
      <c r="I101" s="1">
        <v>40000</v>
      </c>
      <c r="J101" s="1">
        <v>-191000</v>
      </c>
      <c r="K101" s="1">
        <v>60000</v>
      </c>
      <c r="L101" s="1"/>
      <c r="M101" s="51"/>
      <c r="N101" s="51"/>
      <c r="O101" s="51"/>
      <c r="P101" s="51"/>
      <c r="Q101" s="51"/>
      <c r="R101" s="51"/>
      <c r="S101" s="44" t="s">
        <v>139</v>
      </c>
      <c r="T101" s="63">
        <f>T100/T104</f>
        <v>0.11896519004947041</v>
      </c>
    </row>
    <row r="102" spans="1:47" ht="20" x14ac:dyDescent="0.25">
      <c r="A102" s="6" t="s">
        <v>87</v>
      </c>
      <c r="B102" s="10">
        <v>42538000</v>
      </c>
      <c r="C102" s="10">
        <v>-22088000</v>
      </c>
      <c r="D102" s="10">
        <v>76208000</v>
      </c>
      <c r="E102" s="10">
        <v>196830000</v>
      </c>
      <c r="F102" s="10">
        <v>-190379000</v>
      </c>
      <c r="G102" s="10">
        <v>384546000</v>
      </c>
      <c r="H102" s="10">
        <v>-251599000</v>
      </c>
      <c r="I102" s="10">
        <v>680150000</v>
      </c>
      <c r="J102" s="10">
        <v>547946000</v>
      </c>
      <c r="K102" s="10">
        <v>-825753000</v>
      </c>
      <c r="L102" s="10"/>
      <c r="M102" s="51"/>
      <c r="N102" s="51"/>
      <c r="O102" s="51"/>
      <c r="P102" s="51"/>
      <c r="Q102" s="51"/>
      <c r="R102" s="51"/>
      <c r="S102" s="43" t="s">
        <v>140</v>
      </c>
      <c r="T102" s="66" cm="1">
        <f t="array" ref="T102">_FV(A1,"Market cap",TRUE)</f>
        <v>9090237000</v>
      </c>
    </row>
    <row r="103" spans="1:47" ht="20" x14ac:dyDescent="0.25">
      <c r="A103" s="5" t="s">
        <v>88</v>
      </c>
      <c r="B103" s="1">
        <v>12177000</v>
      </c>
      <c r="C103" s="1">
        <v>54715000</v>
      </c>
      <c r="D103" s="1">
        <v>32627000</v>
      </c>
      <c r="E103" s="1">
        <v>108835000</v>
      </c>
      <c r="F103" s="1">
        <v>305665000</v>
      </c>
      <c r="G103" s="1">
        <v>120788000</v>
      </c>
      <c r="H103" s="1">
        <v>505334000</v>
      </c>
      <c r="I103" s="1">
        <v>253735000</v>
      </c>
      <c r="J103" s="1">
        <v>933885000</v>
      </c>
      <c r="K103" s="1">
        <v>1481831000</v>
      </c>
      <c r="L103" s="1"/>
      <c r="M103" s="51"/>
      <c r="N103" s="51"/>
      <c r="O103" s="51"/>
      <c r="P103" s="51"/>
      <c r="Q103" s="51"/>
      <c r="R103" s="51"/>
      <c r="S103" s="44" t="s">
        <v>141</v>
      </c>
      <c r="T103" s="63">
        <f>T102/T104</f>
        <v>0.88103480995052963</v>
      </c>
    </row>
    <row r="104" spans="1:47" ht="20" customHeight="1" thickBot="1" x14ac:dyDescent="0.3">
      <c r="A104" s="7" t="s">
        <v>89</v>
      </c>
      <c r="B104" s="11">
        <v>54715000</v>
      </c>
      <c r="C104" s="11">
        <v>32627000</v>
      </c>
      <c r="D104" s="11">
        <v>108835000</v>
      </c>
      <c r="E104" s="11">
        <v>305665000</v>
      </c>
      <c r="F104" s="11">
        <v>115286000</v>
      </c>
      <c r="G104" s="11">
        <v>505334000</v>
      </c>
      <c r="H104" s="11">
        <v>253735000</v>
      </c>
      <c r="I104" s="11">
        <v>933885000</v>
      </c>
      <c r="J104" s="11">
        <v>1481831000</v>
      </c>
      <c r="K104" s="11">
        <v>656078000</v>
      </c>
      <c r="L104" s="11"/>
      <c r="M104" s="82" t="s">
        <v>114</v>
      </c>
      <c r="N104" s="82"/>
      <c r="O104" s="82"/>
      <c r="P104" s="82"/>
      <c r="Q104" s="82"/>
      <c r="R104" s="51"/>
      <c r="S104" s="44" t="s">
        <v>142</v>
      </c>
      <c r="T104" s="67">
        <f>T100+T102</f>
        <v>10317682000</v>
      </c>
    </row>
    <row r="105" spans="1:47" ht="21" thickTop="1" x14ac:dyDescent="0.25">
      <c r="A105" s="14" t="s">
        <v>160</v>
      </c>
      <c r="C105" s="1">
        <f t="shared" ref="C105:J105" si="21">(C22*(1-0.2))+C77+C88+C81</f>
        <v>-21357400</v>
      </c>
      <c r="D105" s="1">
        <f t="shared" si="21"/>
        <v>-31777400</v>
      </c>
      <c r="E105" s="1">
        <f t="shared" si="21"/>
        <v>-34298000</v>
      </c>
      <c r="F105" s="1">
        <f t="shared" si="21"/>
        <v>-71128200</v>
      </c>
      <c r="G105" s="1">
        <f t="shared" si="21"/>
        <v>-105565000</v>
      </c>
      <c r="H105" s="1">
        <f t="shared" si="21"/>
        <v>-277451000</v>
      </c>
      <c r="I105" s="1">
        <f t="shared" si="21"/>
        <v>-367852800</v>
      </c>
      <c r="J105" s="1">
        <f t="shared" si="21"/>
        <v>-705250200</v>
      </c>
      <c r="K105" s="1">
        <f>(K22*(1-0.2))+K77+K88+K81</f>
        <v>-841211400</v>
      </c>
      <c r="L105" s="27">
        <v>597000000</v>
      </c>
      <c r="M105" s="59">
        <f>M107/M3</f>
        <v>0.14603679309561662</v>
      </c>
      <c r="N105" s="59">
        <f>N107/N3</f>
        <v>0.15957861880608662</v>
      </c>
      <c r="O105" s="59">
        <f>O107/O3</f>
        <v>0.21848428835489833</v>
      </c>
      <c r="P105" s="59">
        <f>P107/P3</f>
        <v>0.24718534700050412</v>
      </c>
      <c r="Q105" s="59">
        <f>Q107/Q3</f>
        <v>0.2579334062841957</v>
      </c>
      <c r="R105" s="60" t="s">
        <v>165</v>
      </c>
      <c r="S105" s="80" t="s">
        <v>143</v>
      </c>
      <c r="T105" s="80"/>
      <c r="U105" s="15"/>
      <c r="AI105" s="15"/>
      <c r="AJ105" s="15"/>
      <c r="AK105" s="15"/>
      <c r="AL105" s="15"/>
      <c r="AM105" s="15"/>
      <c r="AN105" s="15"/>
      <c r="AO105" s="15"/>
      <c r="AP105" s="15"/>
      <c r="AQ105" s="15"/>
      <c r="AR105" s="15"/>
      <c r="AS105" s="15"/>
      <c r="AT105" s="24" t="s">
        <v>106</v>
      </c>
      <c r="AU105" s="25">
        <f>(AU100*AU92)+(AU102*AU97)</f>
        <v>0</v>
      </c>
    </row>
    <row r="106" spans="1:47" ht="20" x14ac:dyDescent="0.25">
      <c r="A106" s="14" t="s">
        <v>161</v>
      </c>
      <c r="B106" s="1"/>
      <c r="C106" s="15">
        <f t="shared" ref="C106:L106" si="22">(C107/B107)-1</f>
        <v>-0.13592084068420651</v>
      </c>
      <c r="D106" s="15">
        <f t="shared" si="22"/>
        <v>0.30403905903240114</v>
      </c>
      <c r="E106" s="15">
        <f t="shared" si="22"/>
        <v>-0.44196732471068756</v>
      </c>
      <c r="F106" s="15">
        <f t="shared" si="22"/>
        <v>0.83458371454711799</v>
      </c>
      <c r="G106" s="15">
        <f t="shared" si="22"/>
        <v>-0.44570782631823924</v>
      </c>
      <c r="H106" s="15">
        <f t="shared" si="22"/>
        <v>2.1934980806142033</v>
      </c>
      <c r="I106" s="15">
        <f t="shared" si="22"/>
        <v>-0.50266706735284172</v>
      </c>
      <c r="J106" s="15">
        <f t="shared" si="22"/>
        <v>4.5973790551002685</v>
      </c>
      <c r="K106" s="15">
        <f t="shared" si="22"/>
        <v>1.0249843131169332</v>
      </c>
      <c r="L106" s="15">
        <f t="shared" si="22"/>
        <v>-2.7692392271323332</v>
      </c>
      <c r="M106" s="52">
        <f>(M107/L107)-1</f>
        <v>0.21092278719397362</v>
      </c>
      <c r="N106" s="52">
        <f>(N107/M107)-1</f>
        <v>0.27216174183514785</v>
      </c>
      <c r="O106" s="52">
        <f>(O107/N107)-1</f>
        <v>0.44498777506112464</v>
      </c>
      <c r="P106" s="52">
        <f>(P107/O107)-1</f>
        <v>0.2445008460236886</v>
      </c>
      <c r="Q106" s="52">
        <f>(Q107/P107)-1</f>
        <v>0.12168592794017674</v>
      </c>
      <c r="R106" s="53">
        <f>SUM(M106:Q106)/5</f>
        <v>0.25885181561082227</v>
      </c>
      <c r="S106" s="45" t="s">
        <v>106</v>
      </c>
      <c r="T106" s="68">
        <f>(T101*T93)+(T103*T98)</f>
        <v>8.487210521742336E-2</v>
      </c>
    </row>
    <row r="107" spans="1:47" ht="19" x14ac:dyDescent="0.25">
      <c r="A107" s="40" t="s">
        <v>162</v>
      </c>
      <c r="B107" s="1">
        <v>-26074000</v>
      </c>
      <c r="C107" s="1">
        <v>-22530000</v>
      </c>
      <c r="D107" s="1">
        <v>-29380000</v>
      </c>
      <c r="E107" s="1">
        <v>-16395000</v>
      </c>
      <c r="F107" s="1">
        <v>-30078000</v>
      </c>
      <c r="G107" s="1">
        <v>-16672000</v>
      </c>
      <c r="H107" s="1">
        <v>-53242000</v>
      </c>
      <c r="I107" s="1">
        <v>-26479000</v>
      </c>
      <c r="J107" s="1">
        <v>-148213000</v>
      </c>
      <c r="K107" s="1">
        <v>-300129000</v>
      </c>
      <c r="L107" s="27">
        <v>531000000</v>
      </c>
      <c r="M107" s="54">
        <v>643000000</v>
      </c>
      <c r="N107" s="54">
        <v>818000000</v>
      </c>
      <c r="O107" s="54">
        <v>1182000000</v>
      </c>
      <c r="P107" s="54">
        <v>1471000000</v>
      </c>
      <c r="Q107" s="54">
        <v>1650000000</v>
      </c>
      <c r="R107" s="50" t="s">
        <v>163</v>
      </c>
      <c r="S107" s="69" t="s">
        <v>144</v>
      </c>
      <c r="T107" s="46">
        <f>(SUM(M4:Q4)/5)</f>
        <v>9.5700845540293192E-2</v>
      </c>
    </row>
    <row r="108" spans="1:47" ht="19" x14ac:dyDescent="0.2">
      <c r="M108" s="61"/>
      <c r="N108" s="61"/>
      <c r="O108" s="61"/>
      <c r="P108" s="61"/>
      <c r="Q108" s="55">
        <f>Q107*(1+T108)/(T109-T108)</f>
        <v>28247712250.275604</v>
      </c>
      <c r="R108" s="56" t="s">
        <v>145</v>
      </c>
      <c r="S108" s="70" t="s">
        <v>146</v>
      </c>
      <c r="T108" s="47">
        <v>2.5000000000000001E-2</v>
      </c>
    </row>
    <row r="109" spans="1:47" ht="19" x14ac:dyDescent="0.2">
      <c r="M109" s="55">
        <f t="shared" ref="M109:O109" si="23">M108+M107</f>
        <v>643000000</v>
      </c>
      <c r="N109" s="55">
        <f t="shared" si="23"/>
        <v>818000000</v>
      </c>
      <c r="O109" s="55">
        <f t="shared" si="23"/>
        <v>1182000000</v>
      </c>
      <c r="P109" s="55">
        <f>P108+P107</f>
        <v>1471000000</v>
      </c>
      <c r="Q109" s="55">
        <f>Q108+Q107</f>
        <v>29897712250.275604</v>
      </c>
      <c r="R109" s="56" t="s">
        <v>142</v>
      </c>
      <c r="S109" s="71" t="s">
        <v>147</v>
      </c>
      <c r="T109" s="46">
        <f>T106</f>
        <v>8.487210521742336E-2</v>
      </c>
    </row>
    <row r="110" spans="1:47" ht="19" x14ac:dyDescent="0.2">
      <c r="M110" s="81" t="s">
        <v>148</v>
      </c>
      <c r="N110" s="81"/>
      <c r="O110" s="51"/>
      <c r="P110" s="51"/>
      <c r="Q110" s="51"/>
      <c r="R110" s="51"/>
      <c r="S110" s="51"/>
      <c r="T110" s="51"/>
    </row>
    <row r="111" spans="1:47" ht="20" x14ac:dyDescent="0.2">
      <c r="M111" s="72" t="s">
        <v>149</v>
      </c>
      <c r="N111" s="66">
        <f>NPV(T109,M109,N109,O109,P109,Q109)</f>
        <v>23170435563.858803</v>
      </c>
      <c r="O111" s="51"/>
      <c r="P111" s="51"/>
      <c r="Q111" s="51"/>
      <c r="R111" s="51"/>
      <c r="S111" s="51"/>
      <c r="T111" s="51"/>
    </row>
    <row r="112" spans="1:47" ht="20" x14ac:dyDescent="0.2">
      <c r="M112" s="72" t="s">
        <v>150</v>
      </c>
      <c r="N112" s="66">
        <f>K40</f>
        <v>4155069000</v>
      </c>
      <c r="O112" s="51"/>
      <c r="P112" s="51"/>
      <c r="Q112" s="51"/>
      <c r="R112" s="51"/>
      <c r="S112" s="51"/>
      <c r="T112" s="51"/>
    </row>
    <row r="113" spans="13:20" ht="20" x14ac:dyDescent="0.2">
      <c r="M113" s="72" t="s">
        <v>138</v>
      </c>
      <c r="N113" s="66">
        <f>T100</f>
        <v>1227445000</v>
      </c>
      <c r="O113" s="51"/>
      <c r="P113" s="51"/>
      <c r="Q113" s="51"/>
      <c r="R113" s="51"/>
      <c r="S113" s="51"/>
      <c r="T113" s="51"/>
    </row>
    <row r="114" spans="13:20" ht="20" x14ac:dyDescent="0.2">
      <c r="M114" s="72" t="s">
        <v>151</v>
      </c>
      <c r="N114" s="66">
        <f>N111+N112-N113</f>
        <v>26098059563.858803</v>
      </c>
      <c r="O114" s="51"/>
      <c r="P114" s="51"/>
      <c r="Q114" s="51"/>
      <c r="R114" s="51"/>
      <c r="S114" s="51"/>
      <c r="T114" s="51"/>
    </row>
    <row r="115" spans="13:20" ht="20" x14ac:dyDescent="0.2">
      <c r="M115" s="72" t="s">
        <v>152</v>
      </c>
      <c r="N115" s="72">
        <f>K34*(1+(5*R16))</f>
        <v>311847429.99752712</v>
      </c>
      <c r="O115" s="51"/>
      <c r="P115" s="51"/>
      <c r="Q115" s="51"/>
      <c r="R115" s="51"/>
      <c r="S115" s="51"/>
      <c r="T115" s="51"/>
    </row>
    <row r="116" spans="13:20" ht="20" x14ac:dyDescent="0.2">
      <c r="M116" s="73" t="s">
        <v>153</v>
      </c>
      <c r="N116" s="74">
        <f>N114/N115</f>
        <v>83.688551045829541</v>
      </c>
      <c r="O116" s="51"/>
      <c r="P116" s="51"/>
      <c r="Q116" s="51"/>
      <c r="R116" s="51"/>
      <c r="S116" s="51"/>
      <c r="T116" s="51"/>
    </row>
    <row r="117" spans="13:20" ht="20" x14ac:dyDescent="0.2">
      <c r="M117" s="72" t="s">
        <v>154</v>
      </c>
      <c r="N117" s="75" cm="1">
        <f t="array" ref="N117">_FV(A1,"Price")</f>
        <v>50.19</v>
      </c>
      <c r="O117" s="51"/>
      <c r="P117" s="51"/>
      <c r="Q117" s="51"/>
      <c r="R117" s="51"/>
      <c r="S117" s="51"/>
      <c r="T117" s="51"/>
    </row>
    <row r="118" spans="13:20" ht="20" x14ac:dyDescent="0.2">
      <c r="M118" s="73" t="s">
        <v>155</v>
      </c>
      <c r="N118" s="76">
        <f>N116/N117-1</f>
        <v>0.66743476879516916</v>
      </c>
      <c r="O118" s="51"/>
      <c r="P118" s="51"/>
      <c r="Q118" s="51"/>
      <c r="R118" s="51"/>
      <c r="S118" s="51"/>
      <c r="T118" s="51"/>
    </row>
    <row r="119" spans="13:20" ht="20" x14ac:dyDescent="0.2">
      <c r="M119" s="73" t="s">
        <v>156</v>
      </c>
      <c r="N119" s="77" t="str">
        <f>IF(N116&gt;N117,"BUY","SELL")</f>
        <v>BUY</v>
      </c>
      <c r="O119" s="51"/>
      <c r="P119" s="51"/>
      <c r="Q119" s="51"/>
      <c r="R119" s="51"/>
      <c r="S119" s="51"/>
      <c r="T119" s="51"/>
    </row>
  </sheetData>
  <mergeCells count="7">
    <mergeCell ref="S84:T84"/>
    <mergeCell ref="S85:T85"/>
    <mergeCell ref="M110:N110"/>
    <mergeCell ref="M104:Q104"/>
    <mergeCell ref="S105:T105"/>
    <mergeCell ref="S99:T99"/>
    <mergeCell ref="S94:T94"/>
  </mergeCells>
  <hyperlinks>
    <hyperlink ref="A1" r:id="rId1" tooltip="https://roic.ai/company/TWLO" display="ROIC.AI | TWL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47669/000104746917000800/0001047469-17-000800-index.html" xr:uid="{00000000-0004-0000-0000-00000A000000}"/>
    <hyperlink ref="E74" r:id="rId9" tooltip="https://www.sec.gov/Archives/edgar/data/1447669/000104746917000800/0001047469-17-000800-index.html" xr:uid="{00000000-0004-0000-0000-00000B000000}"/>
    <hyperlink ref="F36" r:id="rId10" tooltip="https://www.sec.gov/Archives/edgar/data/1447669/000104746918001207/0001047469-18-001207-index.html" xr:uid="{00000000-0004-0000-0000-00000D000000}"/>
    <hyperlink ref="F74" r:id="rId11" tooltip="https://www.sec.gov/Archives/edgar/data/1447669/000104746918001207/0001047469-18-001207-index.html" xr:uid="{00000000-0004-0000-0000-00000E000000}"/>
    <hyperlink ref="G36" r:id="rId12" tooltip="https://www.sec.gov/Archives/edgar/data/1447669/000104746919000807/0001047469-19-000807-index.html" xr:uid="{00000000-0004-0000-0000-000010000000}"/>
    <hyperlink ref="G74" r:id="rId13" tooltip="https://www.sec.gov/Archives/edgar/data/1447669/000104746919000807/0001047469-19-000807-index.html" xr:uid="{00000000-0004-0000-0000-000011000000}"/>
    <hyperlink ref="H36" r:id="rId14" tooltip="https://www.sec.gov/Archives/edgar/data/1447669/000144766920000045/0001447669-20-000045-index.html" xr:uid="{00000000-0004-0000-0000-000013000000}"/>
    <hyperlink ref="H74" r:id="rId15" tooltip="https://www.sec.gov/Archives/edgar/data/1447669/000144766920000045/0001447669-20-000045-index.html" xr:uid="{00000000-0004-0000-0000-000014000000}"/>
    <hyperlink ref="I36" r:id="rId16" tooltip="https://www.sec.gov/Archives/edgar/data/1447669/000144766921000070/0001447669-21-000070-index.htm" xr:uid="{00000000-0004-0000-0000-000016000000}"/>
    <hyperlink ref="I74" r:id="rId17" tooltip="https://www.sec.gov/Archives/edgar/data/1447669/000144766921000070/0001447669-21-000070-index.htm" xr:uid="{00000000-0004-0000-0000-000017000000}"/>
    <hyperlink ref="J36" r:id="rId18" tooltip="https://www.sec.gov/Archives/edgar/data/1447669/000144766922000049/0001447669-22-000049-index.htm" xr:uid="{00000000-0004-0000-0000-000019000000}"/>
    <hyperlink ref="J74" r:id="rId19" tooltip="https://www.sec.gov/Archives/edgar/data/1447669/000144766922000049/0001447669-22-000049-index.htm" xr:uid="{00000000-0004-0000-0000-00001A000000}"/>
    <hyperlink ref="K36" r:id="rId20" tooltip="https://sec.gov" xr:uid="{00000000-0004-0000-0000-00001C000000}"/>
    <hyperlink ref="K74" r:id="rId21" tooltip="https://sec.gov" xr:uid="{00000000-0004-0000-0000-00001D000000}"/>
    <hyperlink ref="M1" r:id="rId22" display="https://finbox.com/NYSE:TWLO/explorer/revenue_proj" xr:uid="{FB5D01A9-44EE-A749-92DC-4C0B4882A940}"/>
    <hyperlink ref="R107" r:id="rId23" xr:uid="{CC50150D-9459-A946-A829-8116BDB0C593}"/>
  </hyperlinks>
  <pageMargins left="0.7" right="0.7" top="0.75" bottom="0.75" header="0.3" footer="0.3"/>
  <drawing r:id="rId2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2023-02-16T22:45:31Z</dcterms:created>
  <dcterms:modified xsi:type="dcterms:W3CDTF">2023-10-30T06:59:43Z</dcterms:modified>
</cp:coreProperties>
</file>