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125B6B7-08F5-1444-AF35-148295F0C31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 i="1" l="1"/>
  <c r="Y7" i="1"/>
  <c r="X7" i="1"/>
  <c r="W7" i="1"/>
  <c r="R6" i="1"/>
  <c r="X22" i="1"/>
  <c r="S105" i="1"/>
  <c r="T105" i="1"/>
  <c r="U105" i="1"/>
  <c r="V105" i="1"/>
  <c r="R105" i="1"/>
  <c r="R106" i="1" l="1"/>
  <c r="S117" i="1" a="1"/>
  <c r="S117" i="1" s="1"/>
  <c r="Y102" i="1" a="1"/>
  <c r="Y102" i="1" s="1"/>
  <c r="Y96" i="1" a="1"/>
  <c r="Y96" i="1" s="1"/>
  <c r="H105" i="1"/>
  <c r="I105" i="1"/>
  <c r="P105" i="1"/>
  <c r="Q105" i="1"/>
  <c r="S112" i="1"/>
  <c r="U109" i="1"/>
  <c r="T109" i="1"/>
  <c r="S109" i="1"/>
  <c r="R109" i="1"/>
  <c r="V106" i="1"/>
  <c r="U106" i="1"/>
  <c r="T106" i="1"/>
  <c r="S106" i="1"/>
  <c r="Y91" i="1"/>
  <c r="Y90" i="1"/>
  <c r="Y92" i="1" s="1"/>
  <c r="B105" i="1" s="1"/>
  <c r="Y88" i="1"/>
  <c r="Y87" i="1"/>
  <c r="Y100" i="1" s="1"/>
  <c r="Y86" i="1"/>
  <c r="Y89" i="1" s="1"/>
  <c r="Y93" i="1" s="1"/>
  <c r="V30" i="1"/>
  <c r="U30" i="1"/>
  <c r="T30" i="1"/>
  <c r="S30" i="1"/>
  <c r="R30" i="1"/>
  <c r="V29" i="1"/>
  <c r="U29" i="1"/>
  <c r="T29" i="1"/>
  <c r="S29" i="1"/>
  <c r="R29" i="1"/>
  <c r="V21" i="1"/>
  <c r="U21" i="1"/>
  <c r="T21" i="1"/>
  <c r="S21" i="1"/>
  <c r="R21" i="1"/>
  <c r="V20" i="1"/>
  <c r="U20" i="1"/>
  <c r="T20" i="1"/>
  <c r="S20" i="1"/>
  <c r="R20" i="1"/>
  <c r="W19" i="1"/>
  <c r="W16" i="1"/>
  <c r="S115" i="1" s="1"/>
  <c r="Z13" i="1"/>
  <c r="Y13" i="1"/>
  <c r="X13" i="1"/>
  <c r="W13" i="1"/>
  <c r="Z10" i="1"/>
  <c r="Y10" i="1"/>
  <c r="X10" i="1"/>
  <c r="Z4" i="1"/>
  <c r="Y4" i="1"/>
  <c r="X4" i="1"/>
  <c r="W4" i="1"/>
  <c r="V4" i="1"/>
  <c r="U4" i="1"/>
  <c r="T4" i="1"/>
  <c r="S4" i="1"/>
  <c r="R4" i="1"/>
  <c r="Q106" i="1"/>
  <c r="P106" i="1"/>
  <c r="O106" i="1"/>
  <c r="N106" i="1"/>
  <c r="M106" i="1"/>
  <c r="L106" i="1"/>
  <c r="K106" i="1"/>
  <c r="J106" i="1"/>
  <c r="I106" i="1"/>
  <c r="H106" i="1"/>
  <c r="G106" i="1"/>
  <c r="F106" i="1"/>
  <c r="E106" i="1"/>
  <c r="D106" i="1"/>
  <c r="C106"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W10" i="1" s="1"/>
  <c r="P9" i="1"/>
  <c r="O9" i="1"/>
  <c r="N9" i="1"/>
  <c r="M9" i="1"/>
  <c r="L9" i="1"/>
  <c r="K9" i="1"/>
  <c r="J9" i="1"/>
  <c r="I9" i="1"/>
  <c r="H9" i="1"/>
  <c r="G9" i="1"/>
  <c r="F9" i="1"/>
  <c r="E9" i="1"/>
  <c r="D9" i="1"/>
  <c r="C9" i="1"/>
  <c r="B9" i="1"/>
  <c r="Q4" i="1"/>
  <c r="P4" i="1"/>
  <c r="O4" i="1"/>
  <c r="N4" i="1"/>
  <c r="M4" i="1"/>
  <c r="L4" i="1"/>
  <c r="K4" i="1"/>
  <c r="J4" i="1"/>
  <c r="I4" i="1"/>
  <c r="H4" i="1"/>
  <c r="G4" i="1"/>
  <c r="F4" i="1"/>
  <c r="E4" i="1"/>
  <c r="D4" i="1"/>
  <c r="C4" i="1"/>
  <c r="Z22" i="1" l="1"/>
  <c r="O105" i="1"/>
  <c r="G105" i="1"/>
  <c r="N105" i="1"/>
  <c r="F105" i="1"/>
  <c r="M105" i="1"/>
  <c r="E105" i="1"/>
  <c r="L105" i="1"/>
  <c r="D105" i="1"/>
  <c r="K105" i="1"/>
  <c r="C105" i="1"/>
  <c r="J105" i="1"/>
  <c r="W106" i="1"/>
  <c r="Y107" i="1"/>
  <c r="X19" i="1"/>
  <c r="Y22" i="1"/>
  <c r="Y16" i="1"/>
  <c r="X16" i="1"/>
  <c r="Z19" i="1"/>
  <c r="Y19" i="1"/>
  <c r="Z16" i="1"/>
  <c r="S113" i="1"/>
  <c r="Y104" i="1"/>
  <c r="Y101" i="1" s="1"/>
  <c r="Y103" i="1" l="1"/>
  <c r="Y95" i="1" l="1"/>
  <c r="Y98" i="1" s="1"/>
  <c r="Y106" i="1" s="1"/>
  <c r="Y109" i="1" s="1"/>
  <c r="V108" i="1" s="1"/>
  <c r="V109" i="1" s="1"/>
  <c r="S111" i="1" s="1"/>
  <c r="S114" i="1" s="1"/>
  <c r="S116" i="1" s="1"/>
  <c r="S119"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<sst xmlns="http://schemas.openxmlformats.org/spreadsheetml/2006/main" count="471" uniqueCount="168">
  <si>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</si>
  <si>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</si>
  <si>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</si>
  <si>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</si>
  <si>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</si>
  <si>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</si>
  <si>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</si>
  <si>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</si>
  <si>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</si>
  <si>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</si>
  <si>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</si>
  <si>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</si>
  <si>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</si>
  <si>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</si>
  <si>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</si>
  <si>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</si>
  <si>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</si>
  <si>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</si>
  <si>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</si>
  <si>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</si>
  <si>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</si>
  <si>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</si>
  <si>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</si>
  <si>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</si>
  <si>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</si>
  <si>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</si>
  <si>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</si>
  <si>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</si>
  <si>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</si>
  <si>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</si>
  <si>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</si>
  <si>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</si>
  <si>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</si>
  <si>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</si>
  <si>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</si>
  <si>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</si>
  <si>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</si>
  <si>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</si>
  <si>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</si>
  <si>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</si>
  <si>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</si>
  <si>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</si>
  <si>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</si>
  <si>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</si>
  <si>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</si>
  <si>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</si>
  <si>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</si>
  <si>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</si>
  <si>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</si>
  <si>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</si>
  <si>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</si>
  <si>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</si>
  <si>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</si>
  <si>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</si>
  <si>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</si>
  <si>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</si>
  <si>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</si>
  <si>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</si>
  <si>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</si>
  <si>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</si>
  <si>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</si>
  <si>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</si>
  <si>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</si>
  <si>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</si>
  <si>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</si>
  <si>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</si>
  <si>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</si>
  <si>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</si>
  <si>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</si>
  <si>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</si>
  <si>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</si>
  <si>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</si>
  <si>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</si>
  <si>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</si>
  <si>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</si>
  <si>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</si>
  <si>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</si>
  <si>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</si>
  <si>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</si>
  <si>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</si>
  <si>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</si>
  <si>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</si>
  <si>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</si>
  <si>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</si>
  <si>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</si>
  <si>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</si>
  <si>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</si>
  <si>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</si>
  <si>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</si>
  <si>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</si>
  <si>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</si>
  <si>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</si>
  <si>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</si>
  <si>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</si>
  <si>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</si>
  <si>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</si>
  <si>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</si>
  <si>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</si>
  <si>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</si>
  <si>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</si>
  <si>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</si>
  <si>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</si>
  <si>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</si>
  <si>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</si>
  <si>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</si>
  <si>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</si>
  <si>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</si>
  <si>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</si>
  <si>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</si>
  <si>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</si>
  <si>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</si>
  <si>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</si>
  <si>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</si>
  <si>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</si>
  <si>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</si>
  <si>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</si>
  <si>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</si>
  <si>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</si>
  <si>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</si>
  <si>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</si>
  <si>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</si>
  <si>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</si>
  <si>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</si>
  <si>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</si>
  <si>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</si>
  <si>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</si>
  <si>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</si>
  <si>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</si>
  <si>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</si>
  <si>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 xml:space="preserve"> 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</si>
  <si>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</si>
  <si>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</si>
  <si>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</si>
  <si>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</si>
  <si>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</si>
  <si>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</si>
  <si>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</si>
  <si>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</si>
  <si>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</si>
  <si>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</si>
  <si>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</si>
  <si>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</si>
  <si>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</si>
  <si>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</si>
  <si>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</si>
  <si>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</si>
  <si>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</si>
  <si>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</si>
  <si>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</si>
  <si>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</si>
  <si>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5Y Fwd FCF CAGR</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</si>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</sst>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i/>
      <sz val="12"/>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6" xfId="0" applyNumberFormat="1" applyFont="1" applyBorder="1" applyAlignment="1">
      <alignment horizontal="center"/>
    </xf>
    <xf numFmtId="165" fontId="10" fillId="0" borderId="10" xfId="0" applyNumberFormat="1" applyFont="1" applyBorder="1"/>
    <xf numFmtId="0" fontId="15" fillId="0" borderId="0" xfId="0" applyFont="1"/>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1" fillId="0" borderId="5" xfId="0" applyNumberFormat="1" applyFont="1" applyBorder="1" applyAlignment="1">
      <alignment horizontal="center"/>
    </xf>
    <xf numFmtId="165" fontId="10" fillId="4" borderId="0" xfId="0" applyNumberFormat="1" applyFont="1" applyFill="1" applyAlignment="1">
      <alignment vertical="center"/>
    </xf>
    <xf numFmtId="0" fontId="0" fillId="4" borderId="0" xfId="0" applyFill="1" applyAlignment="1">
      <alignment vertical="center"/>
    </xf>
    <xf numFmtId="0" fontId="0" fillId="4" borderId="0" xfId="0" applyFill="1" applyAlignment="1">
      <alignment horizontal="center" vertical="center"/>
    </xf>
    <xf numFmtId="10" fontId="11" fillId="4" borderId="0" xfId="0" applyNumberFormat="1" applyFont="1"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69" fontId="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0" fontId="18" fillId="3" borderId="6" xfId="0" applyFont="1" applyFill="1" applyBorder="1" applyAlignment="1">
      <alignment horizontal="center" vertical="center" wrapText="1"/>
    </xf>
    <xf numFmtId="9" fontId="1" fillId="5" borderId="0" xfId="0" applyNumberFormat="1" applyFont="1" applyFill="1" applyAlignment="1">
      <alignment horizontal="center" vertical="center"/>
    </xf>
    <xf numFmtId="0" fontId="0" fillId="5" borderId="0" xfId="0" applyFill="1" applyAlignment="1">
      <alignment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6" fillId="6" borderId="0" xfId="0" applyFont="1" applyFill="1" applyAlignment="1">
      <alignment horizontal="center" vertical="center"/>
    </xf>
    <xf numFmtId="0" fontId="17" fillId="6" borderId="0" xfId="0" applyFont="1" applyFill="1" applyAlignment="1">
      <alignment horizontal="center" vertical="center"/>
    </xf>
    <xf numFmtId="0" fontId="1" fillId="6" borderId="0" xfId="0" applyFont="1" applyFill="1" applyAlignment="1">
      <alignment horizontal="center" vertical="center"/>
    </xf>
    <xf numFmtId="0" fontId="12" fillId="7" borderId="0" xfId="0" applyFont="1" applyFill="1" applyAlignment="1">
      <alignment horizontal="center" vertical="center" wrapText="1"/>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Verisk Analytics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4397968612944964"/>
          <c:w val="0.84989403973509936"/>
          <c:h val="0.65431094793616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1'!$B$3:$V$3</c:f>
              <c:numCache>
                <c:formatCode>#,###,,;\(#,###,,\);\ \-\ \-</c:formatCode>
                <c:ptCount val="21"/>
                <c:pt idx="0">
                  <c:v>802195000</c:v>
                </c:pt>
                <c:pt idx="1">
                  <c:v>893550000</c:v>
                </c:pt>
                <c:pt idx="2">
                  <c:v>1027104000</c:v>
                </c:pt>
                <c:pt idx="3">
                  <c:v>1138343000</c:v>
                </c:pt>
                <c:pt idx="4">
                  <c:v>1331840000</c:v>
                </c:pt>
                <c:pt idx="5">
                  <c:v>1534320000</c:v>
                </c:pt>
                <c:pt idx="6">
                  <c:v>1595703000</c:v>
                </c:pt>
                <c:pt idx="7">
                  <c:v>1746726000</c:v>
                </c:pt>
                <c:pt idx="8">
                  <c:v>2068010000</c:v>
                </c:pt>
                <c:pt idx="9">
                  <c:v>1995200000</c:v>
                </c:pt>
                <c:pt idx="10">
                  <c:v>2145200000</c:v>
                </c:pt>
                <c:pt idx="11">
                  <c:v>2395100000</c:v>
                </c:pt>
                <c:pt idx="12">
                  <c:v>2607100000</c:v>
                </c:pt>
                <c:pt idx="13">
                  <c:v>2784600000</c:v>
                </c:pt>
                <c:pt idx="14">
                  <c:v>2998600000</c:v>
                </c:pt>
                <c:pt idx="15">
                  <c:v>2497000000</c:v>
                </c:pt>
                <c:pt idx="16">
                  <c:v>2661000000</c:v>
                </c:pt>
                <c:pt idx="17">
                  <c:v>2860000000</c:v>
                </c:pt>
                <c:pt idx="18">
                  <c:v>3070000000</c:v>
                </c:pt>
                <c:pt idx="19">
                  <c:v>3251000000</c:v>
                </c:pt>
                <c:pt idx="20">
                  <c:v>3365000000</c:v>
                </c:pt>
              </c:numCache>
            </c:numRef>
          </c:val>
          <c:extLst>
            <c:ext xmlns:c16="http://schemas.microsoft.com/office/drawing/2014/chart" uri="{C3380CC4-5D6E-409C-BE32-E72D297353CC}">
              <c16:uniqueId val="{00000000-FF86-7E4D-B272-0AC0AB460DF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1'!$B$28:$V$28</c:f>
              <c:numCache>
                <c:formatCode>#,###,,;\(#,###,,\);\ \-\ \-</c:formatCode>
                <c:ptCount val="21"/>
                <c:pt idx="0">
                  <c:v>150374000</c:v>
                </c:pt>
                <c:pt idx="1">
                  <c:v>158228000</c:v>
                </c:pt>
                <c:pt idx="2">
                  <c:v>126614000</c:v>
                </c:pt>
                <c:pt idx="3">
                  <c:v>242552000</c:v>
                </c:pt>
                <c:pt idx="4">
                  <c:v>282758000</c:v>
                </c:pt>
                <c:pt idx="5">
                  <c:v>329142000</c:v>
                </c:pt>
                <c:pt idx="6">
                  <c:v>348380000</c:v>
                </c:pt>
                <c:pt idx="7">
                  <c:v>400042000</c:v>
                </c:pt>
                <c:pt idx="8">
                  <c:v>507577000</c:v>
                </c:pt>
                <c:pt idx="9">
                  <c:v>591200000</c:v>
                </c:pt>
                <c:pt idx="10">
                  <c:v>555100000</c:v>
                </c:pt>
                <c:pt idx="11">
                  <c:v>598700000</c:v>
                </c:pt>
                <c:pt idx="12">
                  <c:v>449900000</c:v>
                </c:pt>
                <c:pt idx="13">
                  <c:v>712700000</c:v>
                </c:pt>
                <c:pt idx="14">
                  <c:v>666300000</c:v>
                </c:pt>
                <c:pt idx="15">
                  <c:v>953900000</c:v>
                </c:pt>
                <c:pt idx="16">
                  <c:v>839000000</c:v>
                </c:pt>
                <c:pt idx="17">
                  <c:v>943200000</c:v>
                </c:pt>
                <c:pt idx="18">
                  <c:v>1031000000</c:v>
                </c:pt>
                <c:pt idx="19">
                  <c:v>1120000000</c:v>
                </c:pt>
                <c:pt idx="20">
                  <c:v>1159000000</c:v>
                </c:pt>
              </c:numCache>
            </c:numRef>
          </c:val>
          <c:extLst>
            <c:ext xmlns:c16="http://schemas.microsoft.com/office/drawing/2014/chart" uri="{C3380CC4-5D6E-409C-BE32-E72D297353CC}">
              <c16:uniqueId val="{00000001-FF86-7E4D-B272-0AC0AB460DF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1'!$B$107:$V$107</c:f>
              <c:numCache>
                <c:formatCode>#,###,,;\(#,###,,\);\ \-\ \-</c:formatCode>
                <c:ptCount val="21"/>
                <c:pt idx="0">
                  <c:v>215580000</c:v>
                </c:pt>
                <c:pt idx="1">
                  <c:v>217254000</c:v>
                </c:pt>
                <c:pt idx="2">
                  <c:v>287707000</c:v>
                </c:pt>
                <c:pt idx="3">
                  <c:v>297391000</c:v>
                </c:pt>
                <c:pt idx="4">
                  <c:v>315892000</c:v>
                </c:pt>
                <c:pt idx="5">
                  <c:v>393856000</c:v>
                </c:pt>
                <c:pt idx="6">
                  <c:v>360944000</c:v>
                </c:pt>
                <c:pt idx="7">
                  <c:v>342634000</c:v>
                </c:pt>
                <c:pt idx="8">
                  <c:v>457549000</c:v>
                </c:pt>
                <c:pt idx="9">
                  <c:v>389600000</c:v>
                </c:pt>
                <c:pt idx="10">
                  <c:v>560000000</c:v>
                </c:pt>
                <c:pt idx="11">
                  <c:v>703400000</c:v>
                </c:pt>
                <c:pt idx="12">
                  <c:v>739500000</c:v>
                </c:pt>
                <c:pt idx="13">
                  <c:v>821400000</c:v>
                </c:pt>
                <c:pt idx="14">
                  <c:v>887300000</c:v>
                </c:pt>
                <c:pt idx="15">
                  <c:v>784300000</c:v>
                </c:pt>
                <c:pt idx="16">
                  <c:v>968700000</c:v>
                </c:pt>
                <c:pt idx="17">
                  <c:v>1090000000</c:v>
                </c:pt>
                <c:pt idx="18">
                  <c:v>1178000000</c:v>
                </c:pt>
                <c:pt idx="19">
                  <c:v>1239000000</c:v>
                </c:pt>
                <c:pt idx="20">
                  <c:v>1276000000</c:v>
                </c:pt>
              </c:numCache>
            </c:numRef>
          </c:val>
          <c:extLst>
            <c:ext xmlns:c16="http://schemas.microsoft.com/office/drawing/2014/chart" uri="{C3380CC4-5D6E-409C-BE32-E72D297353CC}">
              <c16:uniqueId val="{00000002-FF86-7E4D-B272-0AC0AB460DF0}"/>
            </c:ext>
          </c:extLst>
        </c:ser>
        <c:dLbls>
          <c:showLegendKey val="0"/>
          <c:showVal val="0"/>
          <c:showCatName val="0"/>
          <c:showSerName val="0"/>
          <c:showPercent val="0"/>
          <c:showBubbleSize val="0"/>
        </c:dLbls>
        <c:gapWidth val="150"/>
        <c:overlap val="100"/>
        <c:axId val="939330224"/>
        <c:axId val="893821008"/>
      </c:barChart>
      <c:catAx>
        <c:axId val="9393302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3821008"/>
        <c:crosses val="autoZero"/>
        <c:auto val="1"/>
        <c:lblAlgn val="ctr"/>
        <c:lblOffset val="100"/>
        <c:noMultiLvlLbl val="0"/>
      </c:catAx>
      <c:valAx>
        <c:axId val="8938210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39330224"/>
        <c:crosses val="autoZero"/>
        <c:crossBetween val="between"/>
      </c:valAx>
      <c:spPr>
        <a:noFill/>
        <a:ln>
          <a:noFill/>
        </a:ln>
        <a:effectLst/>
      </c:spPr>
    </c:plotArea>
    <c:legend>
      <c:legendPos val="b"/>
      <c:layout>
        <c:manualLayout>
          <c:xMode val="edge"/>
          <c:yMode val="edge"/>
          <c:x val="0.34152557751473117"/>
          <c:y val="0.90799997792170584"/>
          <c:w val="0.31429983834802105"/>
          <c:h val="5.987150432757565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109</xdr:row>
      <xdr:rowOff>17463</xdr:rowOff>
    </xdr:from>
    <xdr:to>
      <xdr:col>25</xdr:col>
      <xdr:colOff>0</xdr:colOff>
      <xdr:row>127</xdr:row>
      <xdr:rowOff>190500</xdr:rowOff>
    </xdr:to>
    <xdr:graphicFrame macro="">
      <xdr:nvGraphicFramePr>
        <xdr:cNvPr id="2" name="Chart 1">
          <a:extLst>
            <a:ext uri="{FF2B5EF4-FFF2-40B4-BE49-F238E27FC236}">
              <a16:creationId xmlns:a16="http://schemas.microsoft.com/office/drawing/2014/main" id="{0488898C-462C-A48B-3066-21D665AAB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https://www.bing.com/financeapi/forcetrigger?t=a25jnm&amp;q=XNAS%3aVRSK&amp;form=skydnc</v>
    <v>Learn more on Bing</v>
  </rv>
  <rv s="1">
    <v>0</v>
    <v>VERISK ANALYTICS, INC. (XNAS:VRSK)</v>
    <v>2</v>
    <v>3</v>
    <v>Finance</v>
    <v>4</v>
    <v>en-US</v>
    <v>a25jnm</v>
    <v>268435456</v>
    <v>1</v>
    <v>Powered by Refinitiv</v>
    <v>249.26</v>
    <v>162.94</v>
    <v>0.85270000000000001</v>
    <v>-1.44</v>
    <v>-6.3119999999999999E-3</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231.72499999999999</v>
    <v>Software &amp; IT Services</v>
    <v>Stock</v>
    <v>45225.986526689063</v>
    <v>0</v>
    <v>225.84</v>
    <v>32876193299</v>
    <v>VERISK ANALYTICS, INC.</v>
    <v>VERISK ANALYTICS, INC.</v>
    <v>227.89</v>
    <v>46.9861</v>
    <v>228.13</v>
    <v>226.69</v>
    <v>145027100</v>
    <v>VRSK</v>
    <v>VERISK ANALYTICS, INC. (XNAS:VRSK)</v>
    <v>909020</v>
    <v>940758</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42145/000119312513076934/0001193125-13-076934-index.html" TargetMode="External"/><Relationship Id="rId18" Type="http://schemas.openxmlformats.org/officeDocument/2006/relationships/hyperlink" Target="https://www.sec.gov/Archives/edgar/data/1442145/000144214516000057/0001442145-16-000057-index.html" TargetMode="External"/><Relationship Id="rId26" Type="http://schemas.openxmlformats.org/officeDocument/2006/relationships/hyperlink" Target="https://www.sec.gov/Archives/edgar/data/1442145/000144214520000012/0001442145-20-00001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42145/000144214517000010/0001442145-17-000010-index.html" TargetMode="External"/><Relationship Id="rId34" Type="http://schemas.openxmlformats.org/officeDocument/2006/relationships/hyperlink" Target="https://finbox.com/NASDAQGS:VRSK/explorer/revenue_proj" TargetMode="External"/><Relationship Id="rId7" Type="http://schemas.openxmlformats.org/officeDocument/2006/relationships/hyperlink" Target="https://www.sec.gov/Archives/edgar/data/1442145/000095012310022607/0000950123-10-022607-index.html" TargetMode="External"/><Relationship Id="rId12" Type="http://schemas.openxmlformats.org/officeDocument/2006/relationships/hyperlink" Target="https://www.sec.gov/Archives/edgar/data/1442145/000119312513076934/0001193125-13-076934-index.html" TargetMode="External"/><Relationship Id="rId17" Type="http://schemas.openxmlformats.org/officeDocument/2006/relationships/hyperlink" Target="https://www.sec.gov/Archives/edgar/data/1442145/000144214515000011/vrsk10k12312014.htm" TargetMode="External"/><Relationship Id="rId25" Type="http://schemas.openxmlformats.org/officeDocument/2006/relationships/hyperlink" Target="https://www.sec.gov/Archives/edgar/data/1442145/000144214519000012/0001442145-19-000012-index.html" TargetMode="External"/><Relationship Id="rId33" Type="http://schemas.openxmlformats.org/officeDocument/2006/relationships/hyperlink" Target="https://www.sec.gov/Archives/edgar/data/1442145/000143774923004945/0001437749-23-00494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2145/000144214515000011/vrsk10k12312014.htm" TargetMode="External"/><Relationship Id="rId20" Type="http://schemas.openxmlformats.org/officeDocument/2006/relationships/hyperlink" Target="https://www.sec.gov/Archives/edgar/data/1442145/000144214517000010/0001442145-17-000010-index.html" TargetMode="External"/><Relationship Id="rId29" Type="http://schemas.openxmlformats.org/officeDocument/2006/relationships/hyperlink" Target="https://www.sec.gov/Archives/edgar/data/1442145/000143774921003789/0001437749-21-003789-index.htm" TargetMode="External"/><Relationship Id="rId1" Type="http://schemas.openxmlformats.org/officeDocument/2006/relationships/hyperlink" Target="https://roic.ai/company/VRSK" TargetMode="External"/><Relationship Id="rId6" Type="http://schemas.openxmlformats.org/officeDocument/2006/relationships/hyperlink" Target="https://www.sec.gov/Archives/edgar/data/1442145/000095012310022607/0000950123-10-022607-index.html" TargetMode="External"/><Relationship Id="rId11" Type="http://schemas.openxmlformats.org/officeDocument/2006/relationships/hyperlink" Target="https://www.sec.gov/Archives/edgar/data/1442145/000119312512085286/0001193125-12-085286-index.html" TargetMode="External"/><Relationship Id="rId24" Type="http://schemas.openxmlformats.org/officeDocument/2006/relationships/hyperlink" Target="https://www.sec.gov/Archives/edgar/data/1442145/000144214519000012/0001442145-19-000012-index.html" TargetMode="External"/><Relationship Id="rId32" Type="http://schemas.openxmlformats.org/officeDocument/2006/relationships/hyperlink" Target="https://www.sec.gov/Archives/edgar/data/1442145/000143774923004945/0001437749-23-00494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2145/000144214514000008/vrsk10k12312013.htm" TargetMode="External"/><Relationship Id="rId23" Type="http://schemas.openxmlformats.org/officeDocument/2006/relationships/hyperlink" Target="https://www.sec.gov/Archives/edgar/data/1442145/000144214518000008/0001442145-18-000008-index.html" TargetMode="External"/><Relationship Id="rId28" Type="http://schemas.openxmlformats.org/officeDocument/2006/relationships/hyperlink" Target="https://www.sec.gov/Archives/edgar/data/1442145/000143774921003789/0001437749-21-003789-index.htm" TargetMode="External"/><Relationship Id="rId36" Type="http://schemas.openxmlformats.org/officeDocument/2006/relationships/drawing" Target="../drawings/drawing1.xml"/><Relationship Id="rId10" Type="http://schemas.openxmlformats.org/officeDocument/2006/relationships/hyperlink" Target="https://www.sec.gov/Archives/edgar/data/1442145/000119312512085286/0001193125-12-085286-index.html" TargetMode="External"/><Relationship Id="rId19" Type="http://schemas.openxmlformats.org/officeDocument/2006/relationships/hyperlink" Target="https://www.sec.gov/Archives/edgar/data/1442145/000144214516000057/0001442145-16-000057-index.html" TargetMode="External"/><Relationship Id="rId31" Type="http://schemas.openxmlformats.org/officeDocument/2006/relationships/hyperlink" Target="https://www.sec.gov/Archives/edgar/data/1442145/000143774922004083/0001437749-22-00408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2145/000095012311019814/y89886e10vk.htm" TargetMode="External"/><Relationship Id="rId14" Type="http://schemas.openxmlformats.org/officeDocument/2006/relationships/hyperlink" Target="https://www.sec.gov/Archives/edgar/data/1442145/000144214514000008/vrsk10k12312013.htm" TargetMode="External"/><Relationship Id="rId22" Type="http://schemas.openxmlformats.org/officeDocument/2006/relationships/hyperlink" Target="https://www.sec.gov/Archives/edgar/data/1442145/000144214518000008/0001442145-18-000008-index.html" TargetMode="External"/><Relationship Id="rId27" Type="http://schemas.openxmlformats.org/officeDocument/2006/relationships/hyperlink" Target="https://www.sec.gov/Archives/edgar/data/1442145/000144214520000012/0001442145-20-000012-index.html" TargetMode="External"/><Relationship Id="rId30" Type="http://schemas.openxmlformats.org/officeDocument/2006/relationships/hyperlink" Target="https://www.sec.gov/Archives/edgar/data/1442145/000143774922004083/0001437749-22-004083-index.htm" TargetMode="External"/><Relationship Id="rId35" Type="http://schemas.openxmlformats.org/officeDocument/2006/relationships/hyperlink" Target="https://finbox.com/NASDAQGS:VRSK/explorer/fcf_unlev_proj" TargetMode="External"/><Relationship Id="rId8" Type="http://schemas.openxmlformats.org/officeDocument/2006/relationships/hyperlink" Target="https://www.sec.gov/Archives/edgar/data/1442145/000095012311019814/y89886e10v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N89" activePane="bottomRight" state="frozen"/>
      <selection pane="topRight"/>
      <selection pane="bottomLeft"/>
      <selection pane="bottomRight" activeCell="W131" sqref="W131"/>
    </sheetView>
  </sheetViews>
  <sheetFormatPr baseColWidth="10" defaultRowHeight="16" x14ac:dyDescent="0.2"/>
  <cols>
    <col min="1" max="1" width="50" customWidth="1"/>
    <col min="2" max="17" width="15" customWidth="1"/>
    <col min="18" max="26" width="21" customWidth="1"/>
  </cols>
  <sheetData>
    <row r="1" spans="1:38"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38" ht="40" x14ac:dyDescent="0.25">
      <c r="A3" s="5" t="s">
        <v>1</v>
      </c>
      <c r="B3" s="1">
        <v>802195000</v>
      </c>
      <c r="C3" s="1">
        <v>893550000</v>
      </c>
      <c r="D3" s="1">
        <v>1027104000</v>
      </c>
      <c r="E3" s="1">
        <v>1138343000</v>
      </c>
      <c r="F3" s="1">
        <v>1331840000</v>
      </c>
      <c r="G3" s="1">
        <v>1534320000</v>
      </c>
      <c r="H3" s="1">
        <v>1595703000</v>
      </c>
      <c r="I3" s="1">
        <v>1746726000</v>
      </c>
      <c r="J3" s="1">
        <v>2068010000</v>
      </c>
      <c r="K3" s="1">
        <v>1995200000</v>
      </c>
      <c r="L3" s="1">
        <v>2145200000</v>
      </c>
      <c r="M3" s="1">
        <v>2395100000</v>
      </c>
      <c r="N3" s="1">
        <v>2607100000</v>
      </c>
      <c r="O3" s="1">
        <v>2784600000</v>
      </c>
      <c r="P3" s="1">
        <v>2998600000</v>
      </c>
      <c r="Q3" s="1">
        <v>2497000000</v>
      </c>
      <c r="R3" s="28">
        <v>2661000000</v>
      </c>
      <c r="S3" s="28">
        <v>2860000000</v>
      </c>
      <c r="T3" s="28">
        <v>3070000000</v>
      </c>
      <c r="U3" s="28">
        <v>3251000000</v>
      </c>
      <c r="V3" s="28">
        <v>3365000000</v>
      </c>
      <c r="W3" s="19" t="s">
        <v>111</v>
      </c>
      <c r="X3" s="20" t="s">
        <v>112</v>
      </c>
      <c r="Y3" s="20" t="s">
        <v>113</v>
      </c>
      <c r="Z3" s="20" t="s">
        <v>114</v>
      </c>
    </row>
    <row r="4" spans="1:38" ht="19" x14ac:dyDescent="0.25">
      <c r="A4" s="14" t="s">
        <v>93</v>
      </c>
      <c r="B4" s="1"/>
      <c r="C4" s="15">
        <f>(C3/B3)-1</f>
        <v>0.11388128821545873</v>
      </c>
      <c r="D4" s="15">
        <f>(D3/C3)-1</f>
        <v>0.14946449555145214</v>
      </c>
      <c r="E4" s="15">
        <f>(E3/D3)-1</f>
        <v>0.10830354082936089</v>
      </c>
      <c r="F4" s="15">
        <f t="shared" ref="F4:V4" si="0">(F3/E3)-1</f>
        <v>0.16998127980757993</v>
      </c>
      <c r="G4" s="15">
        <f t="shared" si="0"/>
        <v>0.15203027390677559</v>
      </c>
      <c r="H4" s="15">
        <f t="shared" si="0"/>
        <v>4.0006647896136505E-2</v>
      </c>
      <c r="I4" s="15">
        <f t="shared" si="0"/>
        <v>9.4643552089580529E-2</v>
      </c>
      <c r="J4" s="15">
        <f t="shared" si="0"/>
        <v>0.18393497320129204</v>
      </c>
      <c r="K4" s="15">
        <f t="shared" si="0"/>
        <v>-3.520776011721416E-2</v>
      </c>
      <c r="L4" s="15">
        <f t="shared" si="0"/>
        <v>7.5180433039294225E-2</v>
      </c>
      <c r="M4" s="15">
        <f t="shared" si="0"/>
        <v>0.11649263471937354</v>
      </c>
      <c r="N4" s="15">
        <f t="shared" si="0"/>
        <v>8.8514049517765425E-2</v>
      </c>
      <c r="O4" s="15">
        <f t="shared" si="0"/>
        <v>6.8083310958536369E-2</v>
      </c>
      <c r="P4" s="15">
        <f t="shared" si="0"/>
        <v>7.6851253321841506E-2</v>
      </c>
      <c r="Q4" s="15">
        <f t="shared" si="0"/>
        <v>-0.16727806309611148</v>
      </c>
      <c r="R4" s="16">
        <f t="shared" si="0"/>
        <v>6.5678814577492917E-2</v>
      </c>
      <c r="S4" s="16">
        <f t="shared" si="0"/>
        <v>7.4783915821119873E-2</v>
      </c>
      <c r="T4" s="16">
        <f t="shared" si="0"/>
        <v>7.3426573426573327E-2</v>
      </c>
      <c r="U4" s="16">
        <f t="shared" si="0"/>
        <v>5.8957654723126973E-2</v>
      </c>
      <c r="V4" s="16">
        <f t="shared" si="0"/>
        <v>3.506613349738541E-2</v>
      </c>
      <c r="W4" s="17">
        <f>(Q4+P4+O4)/3</f>
        <v>-7.4478329385778697E-3</v>
      </c>
      <c r="X4" s="17">
        <f>(Q20+P20+O20)/3</f>
        <v>0.18499676825778852</v>
      </c>
      <c r="Y4" s="17">
        <f>(Q29+P29+O29)/3</f>
        <v>0.31688755837761068</v>
      </c>
      <c r="Z4" s="17">
        <f>(Q106+P106+O106)/3</f>
        <v>2.4965629053783005E-2</v>
      </c>
      <c r="AK4" s="18"/>
      <c r="AL4" s="18"/>
    </row>
    <row r="5" spans="1:38" ht="19" x14ac:dyDescent="0.25">
      <c r="A5" s="5" t="s">
        <v>2</v>
      </c>
      <c r="B5" s="1">
        <v>357191000</v>
      </c>
      <c r="C5" s="1">
        <v>386897000</v>
      </c>
      <c r="D5" s="1">
        <v>491294000</v>
      </c>
      <c r="E5" s="1">
        <v>463473000</v>
      </c>
      <c r="F5" s="1">
        <v>533735000</v>
      </c>
      <c r="G5" s="1">
        <v>607174000</v>
      </c>
      <c r="H5" s="1">
        <v>622523000</v>
      </c>
      <c r="I5" s="1">
        <v>716598000</v>
      </c>
      <c r="J5" s="1">
        <v>803274000</v>
      </c>
      <c r="K5" s="1">
        <v>714400000</v>
      </c>
      <c r="L5" s="1">
        <v>783800000</v>
      </c>
      <c r="M5" s="1">
        <v>886200000</v>
      </c>
      <c r="N5" s="1">
        <v>976800000</v>
      </c>
      <c r="O5" s="1">
        <v>993900000</v>
      </c>
      <c r="P5" s="1">
        <v>1057800000</v>
      </c>
      <c r="Q5" s="1">
        <v>824600000</v>
      </c>
    </row>
    <row r="6" spans="1:38" ht="20" x14ac:dyDescent="0.25">
      <c r="A6" s="6" t="s">
        <v>3</v>
      </c>
      <c r="B6" s="10">
        <v>445004000</v>
      </c>
      <c r="C6" s="10">
        <v>506653000</v>
      </c>
      <c r="D6" s="10">
        <v>535810000</v>
      </c>
      <c r="E6" s="10">
        <v>674870000</v>
      </c>
      <c r="F6" s="10">
        <v>798105000</v>
      </c>
      <c r="G6" s="10">
        <v>927146000</v>
      </c>
      <c r="H6" s="10">
        <v>973180000</v>
      </c>
      <c r="I6" s="10">
        <v>1030128000</v>
      </c>
      <c r="J6" s="10">
        <v>1264736000</v>
      </c>
      <c r="K6" s="10">
        <v>1280800000</v>
      </c>
      <c r="L6" s="10">
        <v>1361400000</v>
      </c>
      <c r="M6" s="10">
        <v>1508900000</v>
      </c>
      <c r="N6" s="10">
        <v>1630300000</v>
      </c>
      <c r="O6" s="10">
        <v>1790700000</v>
      </c>
      <c r="P6" s="10">
        <v>1940800000</v>
      </c>
      <c r="Q6" s="10">
        <v>1672400000</v>
      </c>
      <c r="R6" s="32">
        <f>R3*R7</f>
        <v>1806020700</v>
      </c>
      <c r="W6" s="72" t="s">
        <v>115</v>
      </c>
      <c r="X6" s="73" t="s">
        <v>116</v>
      </c>
      <c r="Y6" s="73" t="s">
        <v>117</v>
      </c>
      <c r="Z6" s="73" t="s">
        <v>118</v>
      </c>
    </row>
    <row r="7" spans="1:38" ht="19" x14ac:dyDescent="0.25">
      <c r="A7" s="5" t="s">
        <v>4</v>
      </c>
      <c r="B7" s="2">
        <v>0.55469999999999997</v>
      </c>
      <c r="C7" s="2">
        <v>0.56699999999999995</v>
      </c>
      <c r="D7" s="2">
        <v>0.52170000000000005</v>
      </c>
      <c r="E7" s="2">
        <v>0.59289999999999998</v>
      </c>
      <c r="F7" s="2">
        <v>0.59919999999999995</v>
      </c>
      <c r="G7" s="2">
        <v>0.60429999999999995</v>
      </c>
      <c r="H7" s="2">
        <v>0.6099</v>
      </c>
      <c r="I7" s="2">
        <v>0.5897</v>
      </c>
      <c r="J7" s="2">
        <v>0.61160000000000003</v>
      </c>
      <c r="K7" s="2">
        <v>0.64190000000000003</v>
      </c>
      <c r="L7" s="2">
        <v>0.63460000000000005</v>
      </c>
      <c r="M7" s="2">
        <v>0.63</v>
      </c>
      <c r="N7" s="2">
        <v>0.62529999999999997</v>
      </c>
      <c r="O7" s="2">
        <v>0.6431</v>
      </c>
      <c r="P7" s="2">
        <v>0.6472</v>
      </c>
      <c r="Q7" s="2">
        <v>0.66979999999999995</v>
      </c>
      <c r="R7" s="2">
        <v>0.67869999999999997</v>
      </c>
      <c r="W7" s="17">
        <f>R7</f>
        <v>0.67869999999999997</v>
      </c>
      <c r="X7" s="21">
        <f>R21</f>
        <v>0.53626456219466367</v>
      </c>
      <c r="Y7" s="21">
        <f>R30</f>
        <v>0.31529500187899284</v>
      </c>
      <c r="Z7" s="21">
        <f>R107/R3</f>
        <v>0.36403607666290866</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row>
    <row r="9" spans="1:38" ht="19" customHeight="1" x14ac:dyDescent="0.25">
      <c r="A9" s="14" t="s">
        <v>94</v>
      </c>
      <c r="B9" s="15">
        <f>B8/B3</f>
        <v>0</v>
      </c>
      <c r="C9" s="15">
        <f t="shared" ref="C9:Q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W9" s="19" t="s">
        <v>95</v>
      </c>
      <c r="X9" s="20" t="s">
        <v>96</v>
      </c>
      <c r="Y9" s="20" t="s">
        <v>97</v>
      </c>
      <c r="Z9" s="20"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W10" s="17">
        <f>Q9</f>
        <v>0</v>
      </c>
      <c r="X10" s="21">
        <f>Q13</f>
        <v>0.15278334000800961</v>
      </c>
      <c r="Y10" s="21">
        <f>Q80</f>
        <v>2.2627152583099719E-2</v>
      </c>
      <c r="Z10" s="21">
        <f>Q89</f>
        <v>0.12935522627152582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row>
    <row r="12" spans="1:38" ht="20" x14ac:dyDescent="0.25">
      <c r="A12" s="5" t="s">
        <v>8</v>
      </c>
      <c r="B12" s="1">
        <v>107576000</v>
      </c>
      <c r="C12" s="1">
        <v>131239000</v>
      </c>
      <c r="D12" s="1">
        <v>162604000</v>
      </c>
      <c r="E12" s="1">
        <v>166374000</v>
      </c>
      <c r="F12" s="1">
        <v>209469000</v>
      </c>
      <c r="G12" s="1">
        <v>231359000</v>
      </c>
      <c r="H12" s="1">
        <v>228982000</v>
      </c>
      <c r="I12" s="1">
        <v>227306000</v>
      </c>
      <c r="J12" s="1">
        <v>312690000</v>
      </c>
      <c r="K12" s="1">
        <v>301600000</v>
      </c>
      <c r="L12" s="1">
        <v>322800000</v>
      </c>
      <c r="M12" s="1">
        <v>378700000</v>
      </c>
      <c r="N12" s="1">
        <v>603500000</v>
      </c>
      <c r="O12" s="1">
        <v>413900000</v>
      </c>
      <c r="P12" s="1">
        <v>422700000</v>
      </c>
      <c r="Q12" s="1">
        <v>381500000</v>
      </c>
      <c r="W12" s="19" t="s">
        <v>119</v>
      </c>
      <c r="X12" s="20" t="s">
        <v>120</v>
      </c>
      <c r="Y12" s="20" t="s">
        <v>121</v>
      </c>
      <c r="Z12" s="20" t="s">
        <v>122</v>
      </c>
    </row>
    <row r="13" spans="1:38" ht="19" x14ac:dyDescent="0.25">
      <c r="A13" s="14" t="s">
        <v>99</v>
      </c>
      <c r="B13" s="15">
        <f>B12/B3</f>
        <v>0.13410205747978982</v>
      </c>
      <c r="C13" s="15">
        <f t="shared" ref="C13:Q13" si="2">C12/C3</f>
        <v>0.14687370600414079</v>
      </c>
      <c r="D13" s="15">
        <f t="shared" si="2"/>
        <v>0.15831308221952206</v>
      </c>
      <c r="E13" s="15">
        <f t="shared" si="2"/>
        <v>0.14615454217226267</v>
      </c>
      <c r="F13" s="15">
        <f t="shared" si="2"/>
        <v>0.15727790124939933</v>
      </c>
      <c r="G13" s="15">
        <f t="shared" si="2"/>
        <v>0.15078927472756662</v>
      </c>
      <c r="H13" s="15">
        <f t="shared" si="2"/>
        <v>0.14349913486406932</v>
      </c>
      <c r="I13" s="15">
        <f t="shared" si="2"/>
        <v>0.13013260236579749</v>
      </c>
      <c r="J13" s="15">
        <f t="shared" si="2"/>
        <v>0.15120333073824593</v>
      </c>
      <c r="K13" s="15">
        <f t="shared" si="2"/>
        <v>0.15116279069767441</v>
      </c>
      <c r="L13" s="15">
        <f t="shared" si="2"/>
        <v>0.15047548014171172</v>
      </c>
      <c r="M13" s="15">
        <f t="shared" si="2"/>
        <v>0.15811448373763098</v>
      </c>
      <c r="N13" s="15">
        <f t="shared" si="2"/>
        <v>0.23148325725902344</v>
      </c>
      <c r="O13" s="15">
        <f t="shared" si="2"/>
        <v>0.14863894275658981</v>
      </c>
      <c r="P13" s="15">
        <f t="shared" si="2"/>
        <v>0.14096578403254853</v>
      </c>
      <c r="Q13" s="15">
        <f t="shared" si="2"/>
        <v>0.15278334000800961</v>
      </c>
      <c r="W13" s="17">
        <f>Q28/Q72</f>
        <v>0.54530383582004227</v>
      </c>
      <c r="X13" s="21">
        <f>Q28/Q54</f>
        <v>0.13703294019623335</v>
      </c>
      <c r="Y13" s="21">
        <f>Q22/(Q72+Q56+Q61)</f>
        <v>0.24654676763427288</v>
      </c>
      <c r="Z13" s="22">
        <f>Q67/Q72</f>
        <v>2.9688446807294344</v>
      </c>
    </row>
    <row r="14" spans="1:38" ht="19" x14ac:dyDescent="0.25">
      <c r="A14" s="5" t="s">
        <v>9</v>
      </c>
      <c r="B14" s="1">
        <v>65661000</v>
      </c>
      <c r="C14" s="1">
        <v>64872000</v>
      </c>
      <c r="D14" s="1">
        <v>71199000</v>
      </c>
      <c r="E14" s="1">
        <v>68126000</v>
      </c>
      <c r="F14" s="1">
        <v>78619000</v>
      </c>
      <c r="G14" s="1">
        <v>104199000</v>
      </c>
      <c r="H14" s="1">
        <v>129931000</v>
      </c>
      <c r="I14" s="1">
        <v>142376000</v>
      </c>
      <c r="J14" s="1">
        <v>215484000</v>
      </c>
      <c r="K14" s="1">
        <v>211600000</v>
      </c>
      <c r="L14" s="1">
        <v>237400000</v>
      </c>
      <c r="M14" s="1">
        <v>296100000</v>
      </c>
      <c r="N14" s="1">
        <v>329900000</v>
      </c>
      <c r="O14" s="1">
        <v>338700000</v>
      </c>
      <c r="P14" s="1">
        <v>383600000</v>
      </c>
      <c r="Q14" s="1" t="s">
        <v>91</v>
      </c>
    </row>
    <row r="15" spans="1:38" ht="20" x14ac:dyDescent="0.25">
      <c r="A15" s="5" t="s">
        <v>10</v>
      </c>
      <c r="B15" s="1">
        <v>173237000</v>
      </c>
      <c r="C15" s="1">
        <v>196111000</v>
      </c>
      <c r="D15" s="1">
        <v>233803000</v>
      </c>
      <c r="E15" s="1">
        <v>234500000</v>
      </c>
      <c r="F15" s="1">
        <v>288088000</v>
      </c>
      <c r="G15" s="1">
        <v>335558000</v>
      </c>
      <c r="H15" s="1">
        <v>358913000</v>
      </c>
      <c r="I15" s="1">
        <v>369682000</v>
      </c>
      <c r="J15" s="1">
        <v>528174000</v>
      </c>
      <c r="K15" s="1">
        <v>513200000</v>
      </c>
      <c r="L15" s="1">
        <v>560200000</v>
      </c>
      <c r="M15" s="1">
        <v>674800000</v>
      </c>
      <c r="N15" s="1">
        <v>933400000</v>
      </c>
      <c r="O15" s="1">
        <v>752600000</v>
      </c>
      <c r="P15" s="1">
        <v>806300000</v>
      </c>
      <c r="Q15" s="1">
        <v>381500000</v>
      </c>
      <c r="W15" s="19" t="s">
        <v>123</v>
      </c>
      <c r="X15" s="20" t="s">
        <v>124</v>
      </c>
      <c r="Y15" s="20" t="s">
        <v>125</v>
      </c>
      <c r="Z15" s="20" t="s">
        <v>126</v>
      </c>
    </row>
    <row r="16" spans="1:38" ht="19" x14ac:dyDescent="0.25">
      <c r="A16" s="5" t="s">
        <v>11</v>
      </c>
      <c r="B16" s="1">
        <v>530428000</v>
      </c>
      <c r="C16" s="1">
        <v>583008000</v>
      </c>
      <c r="D16" s="1">
        <v>725097000</v>
      </c>
      <c r="E16" s="1">
        <v>697973000</v>
      </c>
      <c r="F16" s="1">
        <v>821823000</v>
      </c>
      <c r="G16" s="1">
        <v>942732000</v>
      </c>
      <c r="H16" s="1">
        <v>981436000</v>
      </c>
      <c r="I16" s="1">
        <v>1086280000</v>
      </c>
      <c r="J16" s="1">
        <v>1331448000</v>
      </c>
      <c r="K16" s="1">
        <v>1227600000</v>
      </c>
      <c r="L16" s="1">
        <v>1344000000</v>
      </c>
      <c r="M16" s="1">
        <v>1561000000</v>
      </c>
      <c r="N16" s="1">
        <v>1910200000</v>
      </c>
      <c r="O16" s="1">
        <v>1746500000</v>
      </c>
      <c r="P16" s="1">
        <v>1864100000</v>
      </c>
      <c r="Q16" s="1">
        <v>1206100000</v>
      </c>
      <c r="W16" s="29">
        <f>(Q35+P35+O35+N35+M35)/5</f>
        <v>-1.1814203446263516E-2</v>
      </c>
      <c r="X16" s="30">
        <f>Y102/Q3</f>
        <v>13.166276851822186</v>
      </c>
      <c r="Y16" s="30">
        <f>Y102/Q28</f>
        <v>34.465031239123597</v>
      </c>
      <c r="Z16" s="31">
        <f>Y102/Q107</f>
        <v>41.917880019125334</v>
      </c>
    </row>
    <row r="17" spans="1:26" ht="19" x14ac:dyDescent="0.25">
      <c r="A17" s="5" t="s">
        <v>12</v>
      </c>
      <c r="B17" s="1">
        <v>22928000</v>
      </c>
      <c r="C17" s="1">
        <v>31316000</v>
      </c>
      <c r="D17" s="1">
        <v>35265000</v>
      </c>
      <c r="E17" s="1">
        <v>34664000</v>
      </c>
      <c r="F17" s="1">
        <v>53847000</v>
      </c>
      <c r="G17" s="1">
        <v>72508000</v>
      </c>
      <c r="H17" s="1">
        <v>76136000</v>
      </c>
      <c r="I17" s="1">
        <v>69984000</v>
      </c>
      <c r="J17" s="1">
        <v>121316000</v>
      </c>
      <c r="K17" s="1">
        <v>120000000</v>
      </c>
      <c r="L17" s="1">
        <v>119400000</v>
      </c>
      <c r="M17" s="1">
        <v>129700000</v>
      </c>
      <c r="N17" s="1">
        <v>126800000</v>
      </c>
      <c r="O17" s="1">
        <v>138200000</v>
      </c>
      <c r="P17" s="1">
        <v>127000000</v>
      </c>
      <c r="Q17" s="1">
        <v>138800000</v>
      </c>
    </row>
    <row r="18" spans="1:26" ht="20" x14ac:dyDescent="0.25">
      <c r="A18" s="5" t="s">
        <v>13</v>
      </c>
      <c r="B18" s="1">
        <v>65759000</v>
      </c>
      <c r="C18" s="1">
        <v>64872000</v>
      </c>
      <c r="D18" s="1">
        <v>71199000</v>
      </c>
      <c r="E18" s="1">
        <v>68126000</v>
      </c>
      <c r="F18" s="1">
        <v>78619000</v>
      </c>
      <c r="G18" s="1">
        <v>104199000</v>
      </c>
      <c r="H18" s="1">
        <v>134578000</v>
      </c>
      <c r="I18" s="1">
        <v>143483000</v>
      </c>
      <c r="J18" s="1">
        <v>215484000</v>
      </c>
      <c r="K18" s="1">
        <v>224600000</v>
      </c>
      <c r="L18" s="1">
        <v>237400000</v>
      </c>
      <c r="M18" s="1">
        <v>296100000</v>
      </c>
      <c r="N18" s="1">
        <v>323700000</v>
      </c>
      <c r="O18" s="1">
        <v>358100000</v>
      </c>
      <c r="P18" s="1">
        <v>383600000</v>
      </c>
      <c r="Q18" s="1">
        <v>340000000</v>
      </c>
      <c r="W18" s="19" t="s">
        <v>127</v>
      </c>
      <c r="X18" s="20" t="s">
        <v>128</v>
      </c>
      <c r="Y18" s="20" t="s">
        <v>129</v>
      </c>
      <c r="Z18" s="20" t="s">
        <v>130</v>
      </c>
    </row>
    <row r="19" spans="1:26" ht="19" x14ac:dyDescent="0.25">
      <c r="A19" s="6" t="s">
        <v>14</v>
      </c>
      <c r="B19" s="10">
        <v>342245000</v>
      </c>
      <c r="C19" s="10">
        <v>375087000</v>
      </c>
      <c r="D19" s="10">
        <v>371069000</v>
      </c>
      <c r="E19" s="10">
        <v>509440000</v>
      </c>
      <c r="F19" s="10">
        <v>592887000</v>
      </c>
      <c r="G19" s="10">
        <v>695915000</v>
      </c>
      <c r="H19" s="10">
        <v>755520000</v>
      </c>
      <c r="I19" s="10">
        <v>833264000</v>
      </c>
      <c r="J19" s="10">
        <v>1054236000</v>
      </c>
      <c r="K19" s="10">
        <v>1138000000</v>
      </c>
      <c r="L19" s="10">
        <v>1047800000</v>
      </c>
      <c r="M19" s="10">
        <v>1145500000</v>
      </c>
      <c r="N19" s="10">
        <v>1018900000</v>
      </c>
      <c r="O19" s="10">
        <v>1393800000</v>
      </c>
      <c r="P19" s="10">
        <v>1386000000</v>
      </c>
      <c r="Q19" s="10">
        <v>1653000000</v>
      </c>
      <c r="R19" s="32">
        <v>1427000000</v>
      </c>
      <c r="S19" s="32">
        <v>1571000000</v>
      </c>
      <c r="T19" s="32">
        <v>1708000000</v>
      </c>
      <c r="U19" s="32">
        <v>1841000000</v>
      </c>
      <c r="V19" s="32">
        <v>1906000000</v>
      </c>
      <c r="W19" s="33">
        <f>Q40-Q56-Q61</f>
        <v>-3843000000</v>
      </c>
      <c r="X19" s="30">
        <f>Y102/R3</f>
        <v>12.354826493423525</v>
      </c>
      <c r="Y19" s="30">
        <f>Y102/R28</f>
        <v>39.184974134684147</v>
      </c>
      <c r="Z19" s="34">
        <f>Y102/R107</f>
        <v>33.938467326313614</v>
      </c>
    </row>
    <row r="20" spans="1:26" ht="19" customHeight="1" x14ac:dyDescent="0.25">
      <c r="A20" s="14" t="s">
        <v>100</v>
      </c>
      <c r="B20" s="1"/>
      <c r="C20" s="15">
        <f>(C19/B19)-1</f>
        <v>9.5960496135809148E-2</v>
      </c>
      <c r="D20" s="15">
        <f>(D19/C19)-1</f>
        <v>-1.0712181440572399E-2</v>
      </c>
      <c r="E20" s="15">
        <f>(E19/D19)-1</f>
        <v>0.37289830193306361</v>
      </c>
      <c r="F20" s="15">
        <f t="shared" ref="F20:V20" si="3">(F19/E19)-1</f>
        <v>0.16380142902010042</v>
      </c>
      <c r="G20" s="15">
        <f t="shared" si="3"/>
        <v>0.17377341719417028</v>
      </c>
      <c r="H20" s="15">
        <f t="shared" si="3"/>
        <v>8.5649827924387356E-2</v>
      </c>
      <c r="I20" s="15">
        <f t="shared" si="3"/>
        <v>0.10290131300296479</v>
      </c>
      <c r="J20" s="15">
        <f t="shared" si="3"/>
        <v>0.26518846368017823</v>
      </c>
      <c r="K20" s="15">
        <f t="shared" si="3"/>
        <v>7.9454695153646782E-2</v>
      </c>
      <c r="L20" s="15">
        <f t="shared" si="3"/>
        <v>-7.9261862917398895E-2</v>
      </c>
      <c r="M20" s="15">
        <f t="shared" si="3"/>
        <v>9.3242985302538717E-2</v>
      </c>
      <c r="N20" s="15">
        <f t="shared" si="3"/>
        <v>-0.11051942383238755</v>
      </c>
      <c r="O20" s="15">
        <f t="shared" si="3"/>
        <v>0.36794582392776531</v>
      </c>
      <c r="P20" s="15">
        <f t="shared" si="3"/>
        <v>-5.5962117950925094E-3</v>
      </c>
      <c r="Q20" s="15">
        <f t="shared" si="3"/>
        <v>0.19264069264069272</v>
      </c>
      <c r="R20" s="16">
        <f t="shared" si="3"/>
        <v>-0.13672111312764668</v>
      </c>
      <c r="S20" s="16">
        <f t="shared" si="3"/>
        <v>0.10091100210231252</v>
      </c>
      <c r="T20" s="16">
        <f t="shared" si="3"/>
        <v>8.7205601527689414E-2</v>
      </c>
      <c r="U20" s="16">
        <f t="shared" si="3"/>
        <v>7.7868852459016313E-2</v>
      </c>
      <c r="V20" s="16">
        <f t="shared" si="3"/>
        <v>3.5306898424769084E-2</v>
      </c>
      <c r="Y20" s="15"/>
      <c r="Z20" s="15"/>
    </row>
    <row r="21" spans="1:26" ht="20" x14ac:dyDescent="0.25">
      <c r="A21" s="5" t="s">
        <v>15</v>
      </c>
      <c r="B21" s="2">
        <v>0.42659999999999998</v>
      </c>
      <c r="C21" s="2">
        <v>0.41980000000000001</v>
      </c>
      <c r="D21" s="2">
        <v>0.36130000000000001</v>
      </c>
      <c r="E21" s="2">
        <v>0.44750000000000001</v>
      </c>
      <c r="F21" s="2">
        <v>0.44519999999999998</v>
      </c>
      <c r="G21" s="2">
        <v>0.4536</v>
      </c>
      <c r="H21" s="2">
        <v>0.47349999999999998</v>
      </c>
      <c r="I21" s="2">
        <v>0.47699999999999998</v>
      </c>
      <c r="J21" s="2">
        <v>0.50980000000000003</v>
      </c>
      <c r="K21" s="2">
        <v>0.57040000000000002</v>
      </c>
      <c r="L21" s="2">
        <v>0.4884</v>
      </c>
      <c r="M21" s="2">
        <v>0.4783</v>
      </c>
      <c r="N21" s="2">
        <v>0.39079999999999998</v>
      </c>
      <c r="O21" s="2">
        <v>0.50049999999999994</v>
      </c>
      <c r="P21" s="2">
        <v>0.4622</v>
      </c>
      <c r="Q21" s="2">
        <v>0.66200000000000003</v>
      </c>
      <c r="R21" s="35">
        <f>R19/R3</f>
        <v>0.53626456219466367</v>
      </c>
      <c r="S21" s="35">
        <f t="shared" ref="S21:V21" si="4">S19/S3</f>
        <v>0.54930069930069925</v>
      </c>
      <c r="T21" s="35">
        <f t="shared" si="4"/>
        <v>0.55635179153094461</v>
      </c>
      <c r="U21" s="35">
        <f t="shared" si="4"/>
        <v>0.56628729621654872</v>
      </c>
      <c r="V21" s="35">
        <f t="shared" si="4"/>
        <v>0.5664190193164933</v>
      </c>
      <c r="X21" s="69" t="s">
        <v>166</v>
      </c>
      <c r="Y21" s="19" t="s">
        <v>131</v>
      </c>
      <c r="Z21" s="20" t="s">
        <v>167</v>
      </c>
    </row>
    <row r="22" spans="1:26" ht="19" x14ac:dyDescent="0.25">
      <c r="A22" s="6" t="s">
        <v>16</v>
      </c>
      <c r="B22" s="10">
        <v>271767000</v>
      </c>
      <c r="C22" s="10">
        <v>310542000</v>
      </c>
      <c r="D22" s="10">
        <v>302007000</v>
      </c>
      <c r="E22" s="10">
        <v>440914000</v>
      </c>
      <c r="F22" s="10">
        <v>513381000</v>
      </c>
      <c r="G22" s="10">
        <v>591588000</v>
      </c>
      <c r="H22" s="10">
        <v>614267000</v>
      </c>
      <c r="I22" s="10">
        <v>660446000</v>
      </c>
      <c r="J22" s="10">
        <v>736562000</v>
      </c>
      <c r="K22" s="10">
        <v>767600000</v>
      </c>
      <c r="L22" s="10">
        <v>801200000</v>
      </c>
      <c r="M22" s="10">
        <v>834100000</v>
      </c>
      <c r="N22" s="10">
        <v>696900000</v>
      </c>
      <c r="O22" s="10">
        <v>1038100000</v>
      </c>
      <c r="P22" s="10">
        <v>1000500000</v>
      </c>
      <c r="Q22" s="10">
        <v>1406500000</v>
      </c>
      <c r="R22" s="36"/>
      <c r="S22" s="36"/>
      <c r="T22" s="36"/>
      <c r="U22" s="36"/>
      <c r="V22" s="36"/>
      <c r="X22" s="17">
        <f>SUM(R29:V29)/5</f>
        <v>4.3595068240837073E-2</v>
      </c>
      <c r="Y22" s="44">
        <f>(-1*Q98)/Y102</f>
        <v>5.9374270684172375E-3</v>
      </c>
      <c r="Z22" s="37">
        <f>R107/Y102</f>
        <v>2.946509016995788E-2</v>
      </c>
    </row>
    <row r="23" spans="1:26" ht="19" x14ac:dyDescent="0.25">
      <c r="A23" s="5" t="s">
        <v>17</v>
      </c>
      <c r="B23" s="2">
        <v>0.33879999999999999</v>
      </c>
      <c r="C23" s="2">
        <v>0.34749999999999998</v>
      </c>
      <c r="D23" s="2">
        <v>0.29399999999999998</v>
      </c>
      <c r="E23" s="2">
        <v>0.38729999999999998</v>
      </c>
      <c r="F23" s="2">
        <v>0.38550000000000001</v>
      </c>
      <c r="G23" s="2">
        <v>0.3856</v>
      </c>
      <c r="H23" s="2">
        <v>0.38500000000000001</v>
      </c>
      <c r="I23" s="2">
        <v>0.37809999999999999</v>
      </c>
      <c r="J23" s="2">
        <v>0.35620000000000002</v>
      </c>
      <c r="K23" s="2">
        <v>0.38469999999999999</v>
      </c>
      <c r="L23" s="2">
        <v>0.3735</v>
      </c>
      <c r="M23" s="2">
        <v>0.3483</v>
      </c>
      <c r="N23" s="2">
        <v>0.26729999999999998</v>
      </c>
      <c r="O23" s="2">
        <v>0.37280000000000002</v>
      </c>
      <c r="P23" s="2">
        <v>0.3337</v>
      </c>
      <c r="Q23" s="2">
        <v>0.56330000000000002</v>
      </c>
      <c r="R23" s="36"/>
      <c r="S23" s="36"/>
      <c r="T23" s="36"/>
      <c r="U23" s="36"/>
      <c r="V23" s="36"/>
    </row>
    <row r="24" spans="1:26" ht="19" x14ac:dyDescent="0.25">
      <c r="A24" s="5" t="s">
        <v>18</v>
      </c>
      <c r="B24" s="1">
        <v>-13620000</v>
      </c>
      <c r="C24" s="1">
        <v>-31643000</v>
      </c>
      <c r="D24" s="1">
        <v>-37402000</v>
      </c>
      <c r="E24" s="1">
        <v>-34264000</v>
      </c>
      <c r="F24" s="1">
        <v>-52960000</v>
      </c>
      <c r="G24" s="1">
        <v>-72380000</v>
      </c>
      <c r="H24" s="1">
        <v>-75527000</v>
      </c>
      <c r="I24" s="1">
        <v>-69826000</v>
      </c>
      <c r="J24" s="1">
        <v>-19126000</v>
      </c>
      <c r="K24" s="1">
        <v>-113900000</v>
      </c>
      <c r="L24" s="1">
        <v>-110200000</v>
      </c>
      <c r="M24" s="1">
        <v>-114400000</v>
      </c>
      <c r="N24" s="1">
        <v>-128500000</v>
      </c>
      <c r="O24" s="1">
        <v>-140600000</v>
      </c>
      <c r="P24" s="1">
        <v>-125100000</v>
      </c>
      <c r="Q24" s="1">
        <v>-144100000</v>
      </c>
      <c r="R24" s="36"/>
      <c r="S24" s="36"/>
      <c r="T24" s="36"/>
      <c r="U24" s="36"/>
      <c r="V24" s="36"/>
    </row>
    <row r="25" spans="1:26" ht="19" x14ac:dyDescent="0.25">
      <c r="A25" s="6" t="s">
        <v>19</v>
      </c>
      <c r="B25" s="10">
        <v>258147000</v>
      </c>
      <c r="C25" s="10">
        <v>278899000</v>
      </c>
      <c r="D25" s="10">
        <v>264605000</v>
      </c>
      <c r="E25" s="10">
        <v>406650000</v>
      </c>
      <c r="F25" s="10">
        <v>460421000</v>
      </c>
      <c r="G25" s="10">
        <v>519208000</v>
      </c>
      <c r="H25" s="10">
        <v>538740000</v>
      </c>
      <c r="I25" s="10">
        <v>590620000</v>
      </c>
      <c r="J25" s="10">
        <v>717436000</v>
      </c>
      <c r="K25" s="10">
        <v>653700000</v>
      </c>
      <c r="L25" s="10">
        <v>691000000</v>
      </c>
      <c r="M25" s="10">
        <v>719700000</v>
      </c>
      <c r="N25" s="10">
        <v>568400000</v>
      </c>
      <c r="O25" s="10">
        <v>897500000</v>
      </c>
      <c r="P25" s="10">
        <v>875400000</v>
      </c>
      <c r="Q25" s="10">
        <v>1262400000</v>
      </c>
      <c r="R25" s="36"/>
      <c r="S25" s="36"/>
      <c r="T25" s="36"/>
      <c r="U25" s="36"/>
      <c r="V25" s="36"/>
    </row>
    <row r="26" spans="1:26" ht="19" x14ac:dyDescent="0.25">
      <c r="A26" s="5" t="s">
        <v>20</v>
      </c>
      <c r="B26" s="2">
        <v>0.32179999999999997</v>
      </c>
      <c r="C26" s="2">
        <v>0.31209999999999999</v>
      </c>
      <c r="D26" s="2">
        <v>0.2576</v>
      </c>
      <c r="E26" s="2">
        <v>0.35720000000000002</v>
      </c>
      <c r="F26" s="2">
        <v>0.34570000000000001</v>
      </c>
      <c r="G26" s="2">
        <v>0.33839999999999998</v>
      </c>
      <c r="H26" s="2">
        <v>0.33760000000000001</v>
      </c>
      <c r="I26" s="2">
        <v>0.33810000000000001</v>
      </c>
      <c r="J26" s="2">
        <v>0.34689999999999999</v>
      </c>
      <c r="K26" s="2">
        <v>0.3276</v>
      </c>
      <c r="L26" s="2">
        <v>0.3221</v>
      </c>
      <c r="M26" s="2">
        <v>0.30049999999999999</v>
      </c>
      <c r="N26" s="2">
        <v>0.218</v>
      </c>
      <c r="O26" s="2">
        <v>0.32229999999999998</v>
      </c>
      <c r="P26" s="2">
        <v>0.29189999999999999</v>
      </c>
      <c r="Q26" s="2">
        <v>0.50560000000000005</v>
      </c>
      <c r="R26" s="36"/>
      <c r="S26" s="36"/>
      <c r="T26" s="36"/>
      <c r="U26" s="36"/>
      <c r="V26" s="36"/>
    </row>
    <row r="27" spans="1:26" ht="19" x14ac:dyDescent="0.25">
      <c r="A27" s="5" t="s">
        <v>21</v>
      </c>
      <c r="B27" s="1">
        <v>103184000</v>
      </c>
      <c r="C27" s="1">
        <v>120671000</v>
      </c>
      <c r="D27" s="1">
        <v>137991000</v>
      </c>
      <c r="E27" s="1">
        <v>164098000</v>
      </c>
      <c r="F27" s="1">
        <v>177663000</v>
      </c>
      <c r="G27" s="1">
        <v>190066000</v>
      </c>
      <c r="H27" s="1">
        <v>196426000</v>
      </c>
      <c r="I27" s="1">
        <v>219755000</v>
      </c>
      <c r="J27" s="1">
        <v>209859000</v>
      </c>
      <c r="K27" s="1">
        <v>202200000</v>
      </c>
      <c r="L27" s="1">
        <v>135900000</v>
      </c>
      <c r="M27" s="1">
        <v>121000000</v>
      </c>
      <c r="N27" s="1">
        <v>118500000</v>
      </c>
      <c r="O27" s="1">
        <v>184800000</v>
      </c>
      <c r="P27" s="1">
        <v>209100000</v>
      </c>
      <c r="Q27" s="1">
        <v>220300000</v>
      </c>
      <c r="R27" s="36"/>
      <c r="S27" s="36"/>
      <c r="T27" s="36"/>
      <c r="U27" s="36"/>
      <c r="V27" s="36"/>
    </row>
    <row r="28" spans="1:26" ht="20" thickBot="1" x14ac:dyDescent="0.3">
      <c r="A28" s="7" t="s">
        <v>22</v>
      </c>
      <c r="B28" s="11">
        <v>150374000</v>
      </c>
      <c r="C28" s="11">
        <v>158228000</v>
      </c>
      <c r="D28" s="11">
        <v>126614000</v>
      </c>
      <c r="E28" s="11">
        <v>242552000</v>
      </c>
      <c r="F28" s="11">
        <v>282758000</v>
      </c>
      <c r="G28" s="11">
        <v>329142000</v>
      </c>
      <c r="H28" s="11">
        <v>348380000</v>
      </c>
      <c r="I28" s="11">
        <v>400042000</v>
      </c>
      <c r="J28" s="11">
        <v>507577000</v>
      </c>
      <c r="K28" s="11">
        <v>591200000</v>
      </c>
      <c r="L28" s="11">
        <v>555100000</v>
      </c>
      <c r="M28" s="11">
        <v>598700000</v>
      </c>
      <c r="N28" s="11">
        <v>449900000</v>
      </c>
      <c r="O28" s="11">
        <v>712700000</v>
      </c>
      <c r="P28" s="11">
        <v>666300000</v>
      </c>
      <c r="Q28" s="11">
        <v>953900000</v>
      </c>
      <c r="R28" s="38">
        <v>839000000</v>
      </c>
      <c r="S28" s="38">
        <v>943200000</v>
      </c>
      <c r="T28" s="38">
        <v>1031000000</v>
      </c>
      <c r="U28" s="38">
        <v>1120000000</v>
      </c>
      <c r="V28" s="38">
        <v>1159000000</v>
      </c>
    </row>
    <row r="29" spans="1:26" ht="20" customHeight="1" thickTop="1" x14ac:dyDescent="0.25">
      <c r="A29" s="14" t="s">
        <v>101</v>
      </c>
      <c r="B29" s="1"/>
      <c r="C29" s="15">
        <f>(C28/B28)-1</f>
        <v>5.2229773764081555E-2</v>
      </c>
      <c r="D29" s="15">
        <f>(D28/C28)-1</f>
        <v>-0.19980028819172335</v>
      </c>
      <c r="E29" s="15">
        <f>(E28/D28)-1</f>
        <v>0.91568073040895959</v>
      </c>
      <c r="F29" s="15">
        <f t="shared" ref="F29:V29" si="5">(F28/E28)-1</f>
        <v>0.16576239321877373</v>
      </c>
      <c r="G29" s="15">
        <f t="shared" si="5"/>
        <v>0.16404133570049306</v>
      </c>
      <c r="H29" s="15">
        <f t="shared" si="5"/>
        <v>5.8448936932995466E-2</v>
      </c>
      <c r="I29" s="15">
        <f t="shared" si="5"/>
        <v>0.14829209483896899</v>
      </c>
      <c r="J29" s="15">
        <f t="shared" si="5"/>
        <v>0.26880927502612217</v>
      </c>
      <c r="K29" s="15">
        <f t="shared" si="5"/>
        <v>0.16474938777761805</v>
      </c>
      <c r="L29" s="15">
        <f t="shared" si="5"/>
        <v>-6.1062246278755117E-2</v>
      </c>
      <c r="M29" s="15">
        <f t="shared" si="5"/>
        <v>7.8544406413258772E-2</v>
      </c>
      <c r="N29" s="15">
        <f t="shared" si="5"/>
        <v>-0.2485385000835143</v>
      </c>
      <c r="O29" s="15">
        <f t="shared" si="5"/>
        <v>0.58412980662369418</v>
      </c>
      <c r="P29" s="15">
        <f t="shared" si="5"/>
        <v>-6.5104532061175835E-2</v>
      </c>
      <c r="Q29" s="15">
        <f t="shared" si="5"/>
        <v>0.43163740057031363</v>
      </c>
      <c r="R29" s="16">
        <f t="shared" si="5"/>
        <v>-0.12045287766013213</v>
      </c>
      <c r="S29" s="16">
        <f t="shared" si="5"/>
        <v>0.12419547079856974</v>
      </c>
      <c r="T29" s="16">
        <f t="shared" si="5"/>
        <v>9.3087362171331733E-2</v>
      </c>
      <c r="U29" s="16">
        <f t="shared" si="5"/>
        <v>8.6323957322987477E-2</v>
      </c>
      <c r="V29" s="16">
        <f t="shared" si="5"/>
        <v>3.4821428571428559E-2</v>
      </c>
      <c r="Y29" s="15"/>
      <c r="Z29" s="15"/>
    </row>
    <row r="30" spans="1:26" ht="19" x14ac:dyDescent="0.25">
      <c r="A30" s="5" t="s">
        <v>23</v>
      </c>
      <c r="B30" s="2">
        <v>0.1875</v>
      </c>
      <c r="C30" s="2">
        <v>0.17710000000000001</v>
      </c>
      <c r="D30" s="2">
        <v>0.12330000000000001</v>
      </c>
      <c r="E30" s="2">
        <v>0.21310000000000001</v>
      </c>
      <c r="F30" s="2">
        <v>0.21229999999999999</v>
      </c>
      <c r="G30" s="2">
        <v>0.2145</v>
      </c>
      <c r="H30" s="2">
        <v>0.21829999999999999</v>
      </c>
      <c r="I30" s="2">
        <v>0.22900000000000001</v>
      </c>
      <c r="J30" s="2">
        <v>0.24540000000000001</v>
      </c>
      <c r="K30" s="2">
        <v>0.29630000000000001</v>
      </c>
      <c r="L30" s="2">
        <v>0.25879999999999997</v>
      </c>
      <c r="M30" s="2">
        <v>0.25</v>
      </c>
      <c r="N30" s="2">
        <v>0.1726</v>
      </c>
      <c r="O30" s="2">
        <v>0.25590000000000002</v>
      </c>
      <c r="P30" s="2">
        <v>0.22220000000000001</v>
      </c>
      <c r="Q30" s="2">
        <v>0.38200000000000001</v>
      </c>
      <c r="R30" s="39">
        <f>R28/R3</f>
        <v>0.31529500187899284</v>
      </c>
      <c r="S30" s="39">
        <f t="shared" ref="S30:V30" si="6">S28/S3</f>
        <v>0.32979020979020979</v>
      </c>
      <c r="T30" s="39">
        <f t="shared" si="6"/>
        <v>0.33583061889250815</v>
      </c>
      <c r="U30" s="39">
        <f t="shared" si="6"/>
        <v>0.34450938172869888</v>
      </c>
      <c r="V30" s="39">
        <f t="shared" si="6"/>
        <v>0.34442793462109955</v>
      </c>
    </row>
    <row r="31" spans="1:26" ht="19" x14ac:dyDescent="0.25">
      <c r="A31" s="5" t="s">
        <v>24</v>
      </c>
      <c r="B31" s="12">
        <v>0.87</v>
      </c>
      <c r="C31" s="12">
        <v>0.86</v>
      </c>
      <c r="D31" s="12">
        <v>0.72</v>
      </c>
      <c r="E31" s="12">
        <v>1.36</v>
      </c>
      <c r="F31" s="12">
        <v>1.7</v>
      </c>
      <c r="G31" s="12">
        <v>1.98</v>
      </c>
      <c r="H31" s="12">
        <v>2.0699999999999998</v>
      </c>
      <c r="I31" s="12">
        <v>2.41</v>
      </c>
      <c r="J31" s="12">
        <v>3.07</v>
      </c>
      <c r="K31" s="12">
        <v>3.51</v>
      </c>
      <c r="L31" s="12">
        <v>3.36</v>
      </c>
      <c r="M31" s="12">
        <v>3.63</v>
      </c>
      <c r="N31" s="12">
        <v>2.75</v>
      </c>
      <c r="O31" s="12">
        <v>4.38</v>
      </c>
      <c r="P31" s="12">
        <v>4.12</v>
      </c>
      <c r="Q31" s="12">
        <v>6.04</v>
      </c>
      <c r="R31" s="40">
        <v>5.79</v>
      </c>
      <c r="S31" s="40">
        <v>6.5</v>
      </c>
      <c r="T31" s="40">
        <v>7.11</v>
      </c>
      <c r="U31" s="40">
        <v>7.72</v>
      </c>
      <c r="V31" s="40">
        <v>7.99</v>
      </c>
    </row>
    <row r="32" spans="1:26" ht="19" x14ac:dyDescent="0.25">
      <c r="A32" s="5" t="s">
        <v>25</v>
      </c>
      <c r="B32" s="12">
        <v>0.83</v>
      </c>
      <c r="C32" s="12">
        <v>0.82</v>
      </c>
      <c r="D32" s="12">
        <v>0.7</v>
      </c>
      <c r="E32" s="12">
        <v>1.3</v>
      </c>
      <c r="F32" s="12">
        <v>1.63</v>
      </c>
      <c r="G32" s="12">
        <v>1.92</v>
      </c>
      <c r="H32" s="12">
        <v>2.02</v>
      </c>
      <c r="I32" s="12">
        <v>2.37</v>
      </c>
      <c r="J32" s="12">
        <v>3.01</v>
      </c>
      <c r="K32" s="12">
        <v>3.45</v>
      </c>
      <c r="L32" s="12">
        <v>3.29</v>
      </c>
      <c r="M32" s="12">
        <v>3.56</v>
      </c>
      <c r="N32" s="12">
        <v>2.7</v>
      </c>
      <c r="O32" s="12">
        <v>4.3099999999999996</v>
      </c>
      <c r="P32" s="12">
        <v>4.08</v>
      </c>
      <c r="Q32" s="12">
        <v>6</v>
      </c>
    </row>
    <row r="33" spans="1:17" ht="19" x14ac:dyDescent="0.25">
      <c r="A33" s="5" t="s">
        <v>26</v>
      </c>
      <c r="B33" s="1">
        <v>173216650</v>
      </c>
      <c r="C33" s="1">
        <v>184925950</v>
      </c>
      <c r="D33" s="1">
        <v>174767795</v>
      </c>
      <c r="E33" s="1">
        <v>177733503</v>
      </c>
      <c r="F33" s="1">
        <v>166015238</v>
      </c>
      <c r="G33" s="1">
        <v>165890258</v>
      </c>
      <c r="H33" s="1">
        <v>168031412</v>
      </c>
      <c r="I33" s="1">
        <v>165823803</v>
      </c>
      <c r="J33" s="1">
        <v>165090380</v>
      </c>
      <c r="K33" s="1">
        <v>168248304</v>
      </c>
      <c r="L33" s="1">
        <v>165168224</v>
      </c>
      <c r="M33" s="1">
        <v>164808110</v>
      </c>
      <c r="N33" s="1">
        <v>163535438</v>
      </c>
      <c r="O33" s="1">
        <v>162610586</v>
      </c>
      <c r="P33" s="1">
        <v>161841441</v>
      </c>
      <c r="Q33" s="1">
        <v>157905718</v>
      </c>
    </row>
    <row r="34" spans="1:17" ht="19" x14ac:dyDescent="0.25">
      <c r="A34" s="5" t="s">
        <v>27</v>
      </c>
      <c r="B34" s="1">
        <v>180117150</v>
      </c>
      <c r="C34" s="1">
        <v>192493650</v>
      </c>
      <c r="D34" s="1">
        <v>182165661</v>
      </c>
      <c r="E34" s="1">
        <v>186394962</v>
      </c>
      <c r="F34" s="1">
        <v>173325110</v>
      </c>
      <c r="G34" s="1">
        <v>171709518</v>
      </c>
      <c r="H34" s="1">
        <v>172276360</v>
      </c>
      <c r="I34" s="1">
        <v>169132423</v>
      </c>
      <c r="J34" s="1">
        <v>168451343</v>
      </c>
      <c r="K34" s="1">
        <v>171171572</v>
      </c>
      <c r="L34" s="1">
        <v>168688868</v>
      </c>
      <c r="M34" s="1">
        <v>168297836</v>
      </c>
      <c r="N34" s="1">
        <v>166560115</v>
      </c>
      <c r="O34" s="1">
        <v>165320709</v>
      </c>
      <c r="P34" s="1">
        <v>163338909</v>
      </c>
      <c r="Q34" s="1">
        <v>158928942</v>
      </c>
    </row>
    <row r="35" spans="1:17" ht="20" customHeight="1" x14ac:dyDescent="0.25">
      <c r="A35" s="14" t="s">
        <v>102</v>
      </c>
      <c r="B35" s="1"/>
      <c r="C35" s="23">
        <f>(C34-B34)/B34</f>
        <v>6.8713612224044179E-2</v>
      </c>
      <c r="D35" s="23">
        <f t="shared" ref="D35:Q35" si="7">(D34-C34)/C34</f>
        <v>-5.3653660783095962E-2</v>
      </c>
      <c r="E35" s="23">
        <f t="shared" si="7"/>
        <v>2.3216785077841865E-2</v>
      </c>
      <c r="F35" s="23">
        <f t="shared" si="7"/>
        <v>-7.011912693219681E-2</v>
      </c>
      <c r="G35" s="23">
        <f t="shared" si="7"/>
        <v>-9.3211652945150297E-3</v>
      </c>
      <c r="H35" s="23">
        <f t="shared" si="7"/>
        <v>3.3011681973273027E-3</v>
      </c>
      <c r="I35" s="23">
        <f t="shared" si="7"/>
        <v>-1.824938140090724E-2</v>
      </c>
      <c r="J35" s="23">
        <f t="shared" si="7"/>
        <v>-4.0269038184358062E-3</v>
      </c>
      <c r="K35" s="23">
        <f t="shared" si="7"/>
        <v>1.6148455402934959E-2</v>
      </c>
      <c r="L35" s="23">
        <f t="shared" si="7"/>
        <v>-1.4504184141044167E-2</v>
      </c>
      <c r="M35" s="23">
        <f t="shared" si="7"/>
        <v>-2.3180664179926797E-3</v>
      </c>
      <c r="N35" s="23">
        <f t="shared" si="7"/>
        <v>-1.032527239387677E-2</v>
      </c>
      <c r="O35" s="23">
        <f t="shared" si="7"/>
        <v>-7.4411932292433878E-3</v>
      </c>
      <c r="P35" s="23">
        <f t="shared" si="7"/>
        <v>-1.1987608884498553E-2</v>
      </c>
      <c r="Q35" s="23">
        <f t="shared" si="7"/>
        <v>-2.6998876305706191E-2</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v>24049000</v>
      </c>
      <c r="C38" s="1">
        <v>33185000</v>
      </c>
      <c r="D38" s="1">
        <v>71527000</v>
      </c>
      <c r="E38" s="1">
        <v>54974000</v>
      </c>
      <c r="F38" s="1">
        <v>191603000</v>
      </c>
      <c r="G38" s="1">
        <v>89819000</v>
      </c>
      <c r="H38" s="1">
        <v>165801000</v>
      </c>
      <c r="I38" s="1">
        <v>39359000</v>
      </c>
      <c r="J38" s="1">
        <v>138348000</v>
      </c>
      <c r="K38" s="1">
        <v>135100000</v>
      </c>
      <c r="L38" s="1">
        <v>142300000</v>
      </c>
      <c r="M38" s="1">
        <v>139500000</v>
      </c>
      <c r="N38" s="1">
        <v>184600000</v>
      </c>
      <c r="O38" s="1">
        <v>218800000</v>
      </c>
      <c r="P38" s="1">
        <v>280300000</v>
      </c>
      <c r="Q38" s="1">
        <v>112500000</v>
      </c>
    </row>
    <row r="39" spans="1:17" ht="19" x14ac:dyDescent="0.25">
      <c r="A39" s="5" t="s">
        <v>31</v>
      </c>
      <c r="B39" s="1">
        <v>28350000</v>
      </c>
      <c r="C39" s="1">
        <v>5114000</v>
      </c>
      <c r="D39" s="1">
        <v>5445000</v>
      </c>
      <c r="E39" s="1">
        <v>5653000</v>
      </c>
      <c r="F39" s="1">
        <v>5066000</v>
      </c>
      <c r="G39" s="1">
        <v>4883000</v>
      </c>
      <c r="H39" s="1">
        <v>3911000</v>
      </c>
      <c r="I39" s="1">
        <v>3801000</v>
      </c>
      <c r="J39" s="1">
        <v>3576000</v>
      </c>
      <c r="K39" s="1">
        <v>3400000</v>
      </c>
      <c r="L39" s="1">
        <v>3800000</v>
      </c>
      <c r="M39" s="1" t="s">
        <v>91</v>
      </c>
      <c r="N39" s="1" t="s">
        <v>91</v>
      </c>
      <c r="O39" s="1" t="s">
        <v>91</v>
      </c>
      <c r="P39" s="1" t="s">
        <v>91</v>
      </c>
      <c r="Q39" s="1" t="s">
        <v>91</v>
      </c>
    </row>
    <row r="40" spans="1:17" ht="19" x14ac:dyDescent="0.25">
      <c r="A40" s="5" t="s">
        <v>32</v>
      </c>
      <c r="B40" s="1">
        <v>52399000</v>
      </c>
      <c r="C40" s="1">
        <v>38299000</v>
      </c>
      <c r="D40" s="1">
        <v>76972000</v>
      </c>
      <c r="E40" s="1">
        <v>60627000</v>
      </c>
      <c r="F40" s="1">
        <v>196669000</v>
      </c>
      <c r="G40" s="1">
        <v>94702000</v>
      </c>
      <c r="H40" s="1">
        <v>169712000</v>
      </c>
      <c r="I40" s="1">
        <v>43160000</v>
      </c>
      <c r="J40" s="1">
        <v>141924000</v>
      </c>
      <c r="K40" s="1">
        <v>138500000</v>
      </c>
      <c r="L40" s="1">
        <v>146100000</v>
      </c>
      <c r="M40" s="1">
        <v>139500000</v>
      </c>
      <c r="N40" s="1">
        <v>184600000</v>
      </c>
      <c r="O40" s="1">
        <v>218800000</v>
      </c>
      <c r="P40" s="1">
        <v>280300000</v>
      </c>
      <c r="Q40" s="1">
        <v>112500000</v>
      </c>
    </row>
    <row r="41" spans="1:17" ht="19" x14ac:dyDescent="0.25">
      <c r="A41" s="5" t="s">
        <v>33</v>
      </c>
      <c r="B41" s="1">
        <v>91396000</v>
      </c>
      <c r="C41" s="1">
        <v>96941000</v>
      </c>
      <c r="D41" s="1">
        <v>106157000</v>
      </c>
      <c r="E41" s="1">
        <v>151270000</v>
      </c>
      <c r="F41" s="1">
        <v>190014000</v>
      </c>
      <c r="G41" s="1">
        <v>224405000</v>
      </c>
      <c r="H41" s="1">
        <v>225893000</v>
      </c>
      <c r="I41" s="1">
        <v>286180000</v>
      </c>
      <c r="J41" s="1">
        <v>368952000</v>
      </c>
      <c r="K41" s="1">
        <v>313200000</v>
      </c>
      <c r="L41" s="1">
        <v>374300000</v>
      </c>
      <c r="M41" s="1">
        <v>390400000</v>
      </c>
      <c r="N41" s="1">
        <v>467500000</v>
      </c>
      <c r="O41" s="1">
        <v>457800000</v>
      </c>
      <c r="P41" s="1">
        <v>483000000</v>
      </c>
      <c r="Q41" s="1">
        <v>334300000</v>
      </c>
    </row>
    <row r="42" spans="1:1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7" ht="19" x14ac:dyDescent="0.25">
      <c r="A43" s="5" t="s">
        <v>35</v>
      </c>
      <c r="B43" s="1">
        <v>38788000</v>
      </c>
      <c r="C43" s="1">
        <v>33687000</v>
      </c>
      <c r="D43" s="1">
        <v>42216000</v>
      </c>
      <c r="E43" s="1">
        <v>28538000</v>
      </c>
      <c r="F43" s="1">
        <v>66971000</v>
      </c>
      <c r="G43" s="1">
        <v>71452000</v>
      </c>
      <c r="H43" s="1">
        <v>79240000</v>
      </c>
      <c r="I43" s="1">
        <v>55143000</v>
      </c>
      <c r="J43" s="1">
        <v>93693000</v>
      </c>
      <c r="K43" s="1">
        <v>49200000</v>
      </c>
      <c r="L43" s="1">
        <v>77200000</v>
      </c>
      <c r="M43" s="1">
        <v>114600000</v>
      </c>
      <c r="N43" s="1">
        <v>92800000</v>
      </c>
      <c r="O43" s="1">
        <v>117600000</v>
      </c>
      <c r="P43" s="1">
        <v>139300000</v>
      </c>
      <c r="Q43" s="1">
        <v>478300000</v>
      </c>
    </row>
    <row r="44" spans="1:17" ht="19" x14ac:dyDescent="0.25">
      <c r="A44" s="6" t="s">
        <v>36</v>
      </c>
      <c r="B44" s="10">
        <v>182583000</v>
      </c>
      <c r="C44" s="10">
        <v>168927000</v>
      </c>
      <c r="D44" s="10">
        <v>225345000</v>
      </c>
      <c r="E44" s="10">
        <v>240435000</v>
      </c>
      <c r="F44" s="10">
        <v>453654000</v>
      </c>
      <c r="G44" s="10">
        <v>390559000</v>
      </c>
      <c r="H44" s="10">
        <v>474845000</v>
      </c>
      <c r="I44" s="10">
        <v>384483000</v>
      </c>
      <c r="J44" s="10">
        <v>604569000</v>
      </c>
      <c r="K44" s="10">
        <v>500900000</v>
      </c>
      <c r="L44" s="10">
        <v>597600000</v>
      </c>
      <c r="M44" s="10">
        <v>644500000</v>
      </c>
      <c r="N44" s="10">
        <v>744900000</v>
      </c>
      <c r="O44" s="10">
        <v>794200000</v>
      </c>
      <c r="P44" s="10">
        <v>902600000</v>
      </c>
      <c r="Q44" s="10">
        <v>925100000</v>
      </c>
    </row>
    <row r="45" spans="1:17" ht="19" x14ac:dyDescent="0.25">
      <c r="A45" s="5" t="s">
        <v>37</v>
      </c>
      <c r="B45" s="1">
        <v>85436000</v>
      </c>
      <c r="C45" s="1">
        <v>82587000</v>
      </c>
      <c r="D45" s="1">
        <v>89165000</v>
      </c>
      <c r="E45" s="1">
        <v>93409000</v>
      </c>
      <c r="F45" s="1">
        <v>119411000</v>
      </c>
      <c r="G45" s="1">
        <v>154084000</v>
      </c>
      <c r="H45" s="1">
        <v>233373000</v>
      </c>
      <c r="I45" s="1">
        <v>302273000</v>
      </c>
      <c r="J45" s="1">
        <v>418168000</v>
      </c>
      <c r="K45" s="1">
        <v>380300000</v>
      </c>
      <c r="L45" s="1">
        <v>478300000</v>
      </c>
      <c r="M45" s="1">
        <v>555900000</v>
      </c>
      <c r="N45" s="1">
        <v>766700000</v>
      </c>
      <c r="O45" s="1">
        <v>899900000</v>
      </c>
      <c r="P45" s="1">
        <v>911300000</v>
      </c>
      <c r="Q45" s="1">
        <v>723500000</v>
      </c>
    </row>
    <row r="46" spans="1:17" ht="19" x14ac:dyDescent="0.25">
      <c r="A46" s="5" t="s">
        <v>38</v>
      </c>
      <c r="B46" s="1">
        <v>339891000</v>
      </c>
      <c r="C46" s="1">
        <v>447372000</v>
      </c>
      <c r="D46" s="1">
        <v>490829000</v>
      </c>
      <c r="E46" s="1">
        <v>632668000</v>
      </c>
      <c r="F46" s="1">
        <v>709944000</v>
      </c>
      <c r="G46" s="1">
        <v>1247459000</v>
      </c>
      <c r="H46" s="1">
        <v>1181681000</v>
      </c>
      <c r="I46" s="1">
        <v>1207146000</v>
      </c>
      <c r="J46" s="1">
        <v>3134826000</v>
      </c>
      <c r="K46" s="1">
        <v>2578100000</v>
      </c>
      <c r="L46" s="1">
        <v>3368700000</v>
      </c>
      <c r="M46" s="1">
        <v>3361500000</v>
      </c>
      <c r="N46" s="1">
        <v>3864300000</v>
      </c>
      <c r="O46" s="1">
        <v>4108100000</v>
      </c>
      <c r="P46" s="1">
        <v>4331200000</v>
      </c>
      <c r="Q46" s="1">
        <v>1676000000</v>
      </c>
    </row>
    <row r="47" spans="1:17" ht="19" x14ac:dyDescent="0.25">
      <c r="A47" s="5" t="s">
        <v>39</v>
      </c>
      <c r="B47" s="1">
        <v>141160000</v>
      </c>
      <c r="C47" s="1">
        <v>112713000</v>
      </c>
      <c r="D47" s="1">
        <v>108526000</v>
      </c>
      <c r="E47" s="1">
        <v>200229000</v>
      </c>
      <c r="F47" s="1">
        <v>226424000</v>
      </c>
      <c r="G47" s="1">
        <v>520935000</v>
      </c>
      <c r="H47" s="1">
        <v>447618000</v>
      </c>
      <c r="I47" s="1">
        <v>406476000</v>
      </c>
      <c r="J47" s="1">
        <v>1376745000</v>
      </c>
      <c r="K47" s="1">
        <v>1010800000</v>
      </c>
      <c r="L47" s="1">
        <v>1345300000</v>
      </c>
      <c r="M47" s="1">
        <v>1227800000</v>
      </c>
      <c r="N47" s="1">
        <v>1398900000</v>
      </c>
      <c r="O47" s="1">
        <v>1384800000</v>
      </c>
      <c r="P47" s="1">
        <v>1225900000</v>
      </c>
      <c r="Q47" s="1">
        <v>504800000</v>
      </c>
    </row>
    <row r="48" spans="1:17" ht="19" x14ac:dyDescent="0.25">
      <c r="A48" s="5" t="s">
        <v>40</v>
      </c>
      <c r="B48" s="1">
        <v>481051000</v>
      </c>
      <c r="C48" s="1">
        <v>560085000</v>
      </c>
      <c r="D48" s="1">
        <v>599355000</v>
      </c>
      <c r="E48" s="1">
        <v>832897000</v>
      </c>
      <c r="F48" s="1">
        <v>936368000</v>
      </c>
      <c r="G48" s="1">
        <v>1768394000</v>
      </c>
      <c r="H48" s="1">
        <v>1629299000</v>
      </c>
      <c r="I48" s="1">
        <v>1613622000</v>
      </c>
      <c r="J48" s="1">
        <v>4511571000</v>
      </c>
      <c r="K48" s="1">
        <v>3588900000</v>
      </c>
      <c r="L48" s="1">
        <v>4714000000</v>
      </c>
      <c r="M48" s="1">
        <v>4589300000</v>
      </c>
      <c r="N48" s="1">
        <v>5263200000</v>
      </c>
      <c r="O48" s="1">
        <v>5492900000</v>
      </c>
      <c r="P48" s="1">
        <v>5557100000</v>
      </c>
      <c r="Q48" s="1">
        <v>2180800000</v>
      </c>
    </row>
    <row r="49" spans="1:1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216200000</v>
      </c>
      <c r="Q49" s="1" t="s">
        <v>91</v>
      </c>
    </row>
    <row r="50" spans="1:17" ht="19" x14ac:dyDescent="0.25">
      <c r="A50" s="5" t="s">
        <v>42</v>
      </c>
      <c r="B50" s="1">
        <v>55679000</v>
      </c>
      <c r="C50" s="1">
        <v>108368000</v>
      </c>
      <c r="D50" s="1">
        <v>66257000</v>
      </c>
      <c r="E50" s="1">
        <v>21879000</v>
      </c>
      <c r="F50" s="1">
        <v>10480000</v>
      </c>
      <c r="G50" s="1" t="s">
        <v>91</v>
      </c>
      <c r="H50" s="1" t="s">
        <v>91</v>
      </c>
      <c r="I50" s="1" t="s">
        <v>91</v>
      </c>
      <c r="J50" s="1" t="s">
        <v>91</v>
      </c>
      <c r="K50" s="1">
        <v>15600000</v>
      </c>
      <c r="L50" s="1">
        <v>15900000</v>
      </c>
      <c r="M50" s="1">
        <v>11100000</v>
      </c>
      <c r="N50" s="1">
        <v>9800000</v>
      </c>
      <c r="O50" s="1">
        <v>9100000</v>
      </c>
      <c r="P50" s="1">
        <v>6600000</v>
      </c>
      <c r="Q50" s="1">
        <v>31700000</v>
      </c>
    </row>
    <row r="51" spans="1:17" ht="19" x14ac:dyDescent="0.25">
      <c r="A51" s="5" t="s">
        <v>43</v>
      </c>
      <c r="B51" s="1">
        <v>25292000</v>
      </c>
      <c r="C51" s="1">
        <v>8910000</v>
      </c>
      <c r="D51" s="1">
        <v>16831000</v>
      </c>
      <c r="E51" s="1">
        <v>28470000</v>
      </c>
      <c r="F51" s="1">
        <v>21193000</v>
      </c>
      <c r="G51" s="1">
        <v>47299000</v>
      </c>
      <c r="H51" s="1">
        <v>166934000</v>
      </c>
      <c r="I51" s="1">
        <v>44952000</v>
      </c>
      <c r="J51" s="1">
        <v>81619000</v>
      </c>
      <c r="K51" s="1">
        <v>145500000</v>
      </c>
      <c r="L51" s="1">
        <v>214500000</v>
      </c>
      <c r="M51" s="1">
        <v>99500000</v>
      </c>
      <c r="N51" s="1">
        <v>270600000</v>
      </c>
      <c r="O51" s="1">
        <v>365700000</v>
      </c>
      <c r="P51" s="1">
        <v>214300000</v>
      </c>
      <c r="Q51" s="1">
        <v>3100000000</v>
      </c>
    </row>
    <row r="52" spans="1:17" ht="19" x14ac:dyDescent="0.25">
      <c r="A52" s="5" t="s">
        <v>44</v>
      </c>
      <c r="B52" s="1">
        <v>647458000</v>
      </c>
      <c r="C52" s="1">
        <v>759950000</v>
      </c>
      <c r="D52" s="1">
        <v>771608000</v>
      </c>
      <c r="E52" s="1">
        <v>976655000</v>
      </c>
      <c r="F52" s="1">
        <v>1087452000</v>
      </c>
      <c r="G52" s="1">
        <v>1969777000</v>
      </c>
      <c r="H52" s="1">
        <v>2029606000</v>
      </c>
      <c r="I52" s="1">
        <v>1960847000</v>
      </c>
      <c r="J52" s="1">
        <v>5011358000</v>
      </c>
      <c r="K52" s="1">
        <v>4130300000</v>
      </c>
      <c r="L52" s="1">
        <v>5422700000</v>
      </c>
      <c r="M52" s="1">
        <v>5255800000</v>
      </c>
      <c r="N52" s="1">
        <v>6310300000</v>
      </c>
      <c r="O52" s="1">
        <v>6767600000</v>
      </c>
      <c r="P52" s="1">
        <v>6905500000</v>
      </c>
      <c r="Q52" s="1">
        <v>6036000000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20" thickBot="1" x14ac:dyDescent="0.3">
      <c r="A54" s="7" t="s">
        <v>46</v>
      </c>
      <c r="B54" s="11">
        <v>830041000</v>
      </c>
      <c r="C54" s="11">
        <v>928877000</v>
      </c>
      <c r="D54" s="11">
        <v>996953000</v>
      </c>
      <c r="E54" s="11">
        <v>1217090000</v>
      </c>
      <c r="F54" s="11">
        <v>1541106000</v>
      </c>
      <c r="G54" s="11">
        <v>2360336000</v>
      </c>
      <c r="H54" s="11">
        <v>2504451000</v>
      </c>
      <c r="I54" s="11">
        <v>2345330000</v>
      </c>
      <c r="J54" s="11">
        <v>5615927000</v>
      </c>
      <c r="K54" s="11">
        <v>4631200000</v>
      </c>
      <c r="L54" s="11">
        <v>6020300000</v>
      </c>
      <c r="M54" s="11">
        <v>5900300000</v>
      </c>
      <c r="N54" s="11">
        <v>7055200000</v>
      </c>
      <c r="O54" s="11">
        <v>7561800000</v>
      </c>
      <c r="P54" s="11">
        <v>7808100000</v>
      </c>
      <c r="Q54" s="11">
        <v>6961100000</v>
      </c>
    </row>
    <row r="55" spans="1:17" ht="20" thickTop="1" x14ac:dyDescent="0.25">
      <c r="A55" s="5" t="s">
        <v>47</v>
      </c>
      <c r="B55" s="1">
        <v>78234000</v>
      </c>
      <c r="C55" s="1">
        <v>83381000</v>
      </c>
      <c r="D55" s="1">
        <v>101401000</v>
      </c>
      <c r="E55" s="1">
        <v>111995000</v>
      </c>
      <c r="F55" s="1" t="s">
        <v>91</v>
      </c>
      <c r="G55" s="1" t="s">
        <v>91</v>
      </c>
      <c r="H55" s="1" t="s">
        <v>91</v>
      </c>
      <c r="I55" s="1">
        <v>87432000</v>
      </c>
      <c r="J55" s="1">
        <v>245664000</v>
      </c>
      <c r="K55" s="1">
        <v>90400000</v>
      </c>
      <c r="L55" s="1">
        <v>68900000</v>
      </c>
      <c r="M55" s="1">
        <v>77200000</v>
      </c>
      <c r="N55" s="1">
        <v>80000000</v>
      </c>
      <c r="O55" s="1">
        <v>99300000</v>
      </c>
      <c r="P55" s="1">
        <v>117300000</v>
      </c>
      <c r="Q55" s="1" t="s">
        <v>91</v>
      </c>
    </row>
    <row r="56" spans="1:17" ht="19" x14ac:dyDescent="0.25">
      <c r="A56" s="5" t="s">
        <v>48</v>
      </c>
      <c r="B56" s="1">
        <v>35171000</v>
      </c>
      <c r="C56" s="1">
        <v>219398000</v>
      </c>
      <c r="D56" s="1">
        <v>66660000</v>
      </c>
      <c r="E56" s="1">
        <v>437717000</v>
      </c>
      <c r="F56" s="1">
        <v>5554000</v>
      </c>
      <c r="G56" s="1">
        <v>195263000</v>
      </c>
      <c r="H56" s="1">
        <v>4448000</v>
      </c>
      <c r="I56" s="1">
        <v>336058000</v>
      </c>
      <c r="J56" s="1">
        <v>874811000</v>
      </c>
      <c r="K56" s="1">
        <v>106800000</v>
      </c>
      <c r="L56" s="1">
        <v>724400000</v>
      </c>
      <c r="M56" s="1">
        <v>672800000</v>
      </c>
      <c r="N56" s="1">
        <v>540000000</v>
      </c>
      <c r="O56" s="1">
        <v>553000000</v>
      </c>
      <c r="P56" s="1">
        <v>1012500000</v>
      </c>
      <c r="Q56" s="1">
        <v>1422400000</v>
      </c>
    </row>
    <row r="57" spans="1:17" ht="19" x14ac:dyDescent="0.25">
      <c r="A57" s="5" t="s">
        <v>49</v>
      </c>
      <c r="B57" s="1">
        <v>9178000</v>
      </c>
      <c r="C57" s="1" t="s">
        <v>91</v>
      </c>
      <c r="D57" s="1">
        <v>1414000</v>
      </c>
      <c r="E57" s="1" t="s">
        <v>91</v>
      </c>
      <c r="F57" s="1" t="s">
        <v>91</v>
      </c>
      <c r="G57" s="1" t="s">
        <v>91</v>
      </c>
      <c r="H57" s="1" t="s">
        <v>91</v>
      </c>
      <c r="I57" s="1" t="s">
        <v>91</v>
      </c>
      <c r="J57" s="1" t="s">
        <v>91</v>
      </c>
      <c r="K57" s="1" t="s">
        <v>91</v>
      </c>
      <c r="L57" s="1">
        <v>3100000</v>
      </c>
      <c r="M57" s="1">
        <v>5200000</v>
      </c>
      <c r="N57" s="1">
        <v>6800000</v>
      </c>
      <c r="O57" s="1">
        <v>3800000</v>
      </c>
      <c r="P57" s="1">
        <v>9000000</v>
      </c>
      <c r="Q57" s="1" t="s">
        <v>91</v>
      </c>
    </row>
    <row r="58" spans="1:17" ht="19" x14ac:dyDescent="0.25">
      <c r="A58" s="5" t="s">
        <v>50</v>
      </c>
      <c r="B58" s="1" t="s">
        <v>91</v>
      </c>
      <c r="C58" s="1" t="s">
        <v>91</v>
      </c>
      <c r="D58" s="1" t="s">
        <v>91</v>
      </c>
      <c r="E58" s="1" t="s">
        <v>91</v>
      </c>
      <c r="F58" s="1">
        <v>176842000</v>
      </c>
      <c r="G58" s="1">
        <v>200705000</v>
      </c>
      <c r="H58" s="1">
        <v>226581000</v>
      </c>
      <c r="I58" s="1">
        <v>252592000</v>
      </c>
      <c r="J58" s="1">
        <v>356951000</v>
      </c>
      <c r="K58" s="1">
        <v>330800000</v>
      </c>
      <c r="L58" s="1">
        <v>384700000</v>
      </c>
      <c r="M58" s="1">
        <v>383100000</v>
      </c>
      <c r="N58" s="1">
        <v>440100000</v>
      </c>
      <c r="O58" s="1">
        <v>466700000</v>
      </c>
      <c r="P58" s="1">
        <v>501000000</v>
      </c>
      <c r="Q58" s="1">
        <v>321700000</v>
      </c>
    </row>
    <row r="59" spans="1:17" ht="19" x14ac:dyDescent="0.25">
      <c r="A59" s="5" t="s">
        <v>51</v>
      </c>
      <c r="B59" s="1">
        <v>232843000</v>
      </c>
      <c r="C59" s="1">
        <v>202120000</v>
      </c>
      <c r="D59" s="1">
        <v>130804000</v>
      </c>
      <c r="E59" s="1">
        <v>171170000</v>
      </c>
      <c r="F59" s="1">
        <v>167254000</v>
      </c>
      <c r="G59" s="1">
        <v>189382000</v>
      </c>
      <c r="H59" s="1">
        <v>200150000</v>
      </c>
      <c r="I59" s="1">
        <v>95188000</v>
      </c>
      <c r="J59" s="1">
        <v>1831000</v>
      </c>
      <c r="K59" s="1">
        <v>93600000</v>
      </c>
      <c r="L59" s="1">
        <v>156500000</v>
      </c>
      <c r="M59" s="1">
        <v>186300000</v>
      </c>
      <c r="N59" s="1">
        <v>424900000</v>
      </c>
      <c r="O59" s="1">
        <v>308000000</v>
      </c>
      <c r="P59" s="1">
        <v>203400000</v>
      </c>
      <c r="Q59" s="1">
        <v>575100000</v>
      </c>
    </row>
    <row r="60" spans="1:17" ht="19" x14ac:dyDescent="0.25">
      <c r="A60" s="6" t="s">
        <v>52</v>
      </c>
      <c r="B60" s="10">
        <v>355426000</v>
      </c>
      <c r="C60" s="10">
        <v>504899000</v>
      </c>
      <c r="D60" s="10">
        <v>300279000</v>
      </c>
      <c r="E60" s="10">
        <v>720882000</v>
      </c>
      <c r="F60" s="10">
        <v>349650000</v>
      </c>
      <c r="G60" s="10">
        <v>585350000</v>
      </c>
      <c r="H60" s="10">
        <v>431179000</v>
      </c>
      <c r="I60" s="10">
        <v>771270000</v>
      </c>
      <c r="J60" s="10">
        <v>1479257000</v>
      </c>
      <c r="K60" s="10">
        <v>621600000</v>
      </c>
      <c r="L60" s="10">
        <v>1337600000</v>
      </c>
      <c r="M60" s="10">
        <v>1324600000</v>
      </c>
      <c r="N60" s="10">
        <v>1491800000</v>
      </c>
      <c r="O60" s="10">
        <v>1430800000</v>
      </c>
      <c r="P60" s="10">
        <v>1843200000</v>
      </c>
      <c r="Q60" s="10">
        <v>2319200000</v>
      </c>
    </row>
    <row r="61" spans="1:17" ht="19" x14ac:dyDescent="0.25">
      <c r="A61" s="5" t="s">
        <v>53</v>
      </c>
      <c r="B61" s="1">
        <v>403159000</v>
      </c>
      <c r="C61" s="1">
        <v>450356000</v>
      </c>
      <c r="D61" s="1">
        <v>527509000</v>
      </c>
      <c r="E61" s="1">
        <v>401826000</v>
      </c>
      <c r="F61" s="1">
        <v>1100332000</v>
      </c>
      <c r="G61" s="1">
        <v>1266162000</v>
      </c>
      <c r="H61" s="1">
        <v>1271439000</v>
      </c>
      <c r="I61" s="1">
        <v>1100874000</v>
      </c>
      <c r="J61" s="1">
        <v>2293179000</v>
      </c>
      <c r="K61" s="1">
        <v>2280200000</v>
      </c>
      <c r="L61" s="1">
        <v>2284400000</v>
      </c>
      <c r="M61" s="1">
        <v>2050500000</v>
      </c>
      <c r="N61" s="1">
        <v>2859700000</v>
      </c>
      <c r="O61" s="1">
        <v>2971200000</v>
      </c>
      <c r="P61" s="1">
        <v>2597500000</v>
      </c>
      <c r="Q61" s="1">
        <v>2533100000</v>
      </c>
    </row>
    <row r="62" spans="1:1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row>
    <row r="63" spans="1:17" ht="19" x14ac:dyDescent="0.25">
      <c r="A63" s="5" t="s">
        <v>54</v>
      </c>
      <c r="B63" s="1" t="s">
        <v>91</v>
      </c>
      <c r="C63" s="1" t="s">
        <v>91</v>
      </c>
      <c r="D63" s="1" t="s">
        <v>91</v>
      </c>
      <c r="E63" s="1" t="s">
        <v>91</v>
      </c>
      <c r="F63" s="1" t="s">
        <v>91</v>
      </c>
      <c r="G63" s="1">
        <v>133761000</v>
      </c>
      <c r="H63" s="1">
        <v>198604000</v>
      </c>
      <c r="I63" s="1">
        <v>202540000</v>
      </c>
      <c r="J63" s="1">
        <v>396430000</v>
      </c>
      <c r="K63" s="1">
        <v>322200000</v>
      </c>
      <c r="L63" s="1">
        <v>337800000</v>
      </c>
      <c r="M63" s="1">
        <v>350600000</v>
      </c>
      <c r="N63" s="1">
        <v>356000000</v>
      </c>
      <c r="O63" s="1">
        <v>396900000</v>
      </c>
      <c r="P63" s="1">
        <v>470500000</v>
      </c>
      <c r="Q63" s="1">
        <v>145600000</v>
      </c>
    </row>
    <row r="64" spans="1:17" ht="19" x14ac:dyDescent="0.25">
      <c r="A64" s="5" t="s">
        <v>55</v>
      </c>
      <c r="B64" s="1">
        <v>1274804000</v>
      </c>
      <c r="C64" s="1">
        <v>983445000</v>
      </c>
      <c r="D64" s="1">
        <v>204114000</v>
      </c>
      <c r="E64" s="1">
        <v>208824000</v>
      </c>
      <c r="F64" s="1">
        <v>189614000</v>
      </c>
      <c r="G64" s="1">
        <v>119472000</v>
      </c>
      <c r="H64" s="1">
        <v>55640000</v>
      </c>
      <c r="I64" s="1">
        <v>59603000</v>
      </c>
      <c r="J64" s="1">
        <v>75050000</v>
      </c>
      <c r="K64" s="1">
        <v>74800000</v>
      </c>
      <c r="L64" s="1">
        <v>135100000</v>
      </c>
      <c r="M64" s="1">
        <v>104000000</v>
      </c>
      <c r="N64" s="1">
        <v>86900000</v>
      </c>
      <c r="O64" s="1">
        <v>64700000</v>
      </c>
      <c r="P64" s="1">
        <v>54400000</v>
      </c>
      <c r="Q64" s="1">
        <v>195500000</v>
      </c>
    </row>
    <row r="65" spans="1:17" ht="19" x14ac:dyDescent="0.25">
      <c r="A65" s="5" t="s">
        <v>56</v>
      </c>
      <c r="B65" s="1">
        <v>1677963000</v>
      </c>
      <c r="C65" s="1">
        <v>1433801000</v>
      </c>
      <c r="D65" s="1">
        <v>731623000</v>
      </c>
      <c r="E65" s="1">
        <v>610650000</v>
      </c>
      <c r="F65" s="1">
        <v>1289946000</v>
      </c>
      <c r="G65" s="1">
        <v>1519395000</v>
      </c>
      <c r="H65" s="1">
        <v>1525683000</v>
      </c>
      <c r="I65" s="1">
        <v>1363017000</v>
      </c>
      <c r="J65" s="1">
        <v>2764659000</v>
      </c>
      <c r="K65" s="1">
        <v>2677200000</v>
      </c>
      <c r="L65" s="1">
        <v>2757300000</v>
      </c>
      <c r="M65" s="1">
        <v>2505100000</v>
      </c>
      <c r="N65" s="1">
        <v>3302600000</v>
      </c>
      <c r="O65" s="1">
        <v>3432800000</v>
      </c>
      <c r="P65" s="1">
        <v>3122400000</v>
      </c>
      <c r="Q65" s="1">
        <v>2874200000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v>2033389000</v>
      </c>
      <c r="C67" s="10">
        <v>1938700000</v>
      </c>
      <c r="D67" s="10">
        <v>1031902000</v>
      </c>
      <c r="E67" s="10">
        <v>1331532000</v>
      </c>
      <c r="F67" s="10">
        <v>1639596000</v>
      </c>
      <c r="G67" s="10">
        <v>2104745000</v>
      </c>
      <c r="H67" s="10">
        <v>1956862000</v>
      </c>
      <c r="I67" s="10">
        <v>2134287000</v>
      </c>
      <c r="J67" s="10">
        <v>4243916000</v>
      </c>
      <c r="K67" s="10">
        <v>3298800000</v>
      </c>
      <c r="L67" s="10">
        <v>4094900000</v>
      </c>
      <c r="M67" s="10">
        <v>3829700000</v>
      </c>
      <c r="N67" s="10">
        <v>4794400000</v>
      </c>
      <c r="O67" s="10">
        <v>4863600000</v>
      </c>
      <c r="P67" s="10">
        <v>4965600000</v>
      </c>
      <c r="Q67" s="10">
        <v>5193400000</v>
      </c>
    </row>
    <row r="68" spans="1:17" ht="19" x14ac:dyDescent="0.25">
      <c r="A68" s="5" t="s">
        <v>59</v>
      </c>
      <c r="B68" s="1">
        <v>100000</v>
      </c>
      <c r="C68" s="1">
        <v>100000</v>
      </c>
      <c r="D68" s="1">
        <v>130000</v>
      </c>
      <c r="E68" s="1">
        <v>135000</v>
      </c>
      <c r="F68" s="1">
        <v>137000</v>
      </c>
      <c r="G68" s="1">
        <v>137000</v>
      </c>
      <c r="H68" s="1">
        <v>137000</v>
      </c>
      <c r="I68" s="1">
        <v>137000</v>
      </c>
      <c r="J68" s="1">
        <v>137000</v>
      </c>
      <c r="K68" s="1">
        <v>100000</v>
      </c>
      <c r="L68" s="1">
        <v>100000</v>
      </c>
      <c r="M68" s="1">
        <v>100000</v>
      </c>
      <c r="N68" s="1">
        <v>100000</v>
      </c>
      <c r="O68" s="1">
        <v>100000</v>
      </c>
      <c r="P68" s="1">
        <v>100000</v>
      </c>
      <c r="Q68" s="1">
        <v>100000</v>
      </c>
    </row>
    <row r="69" spans="1:17" ht="19" x14ac:dyDescent="0.25">
      <c r="A69" s="5" t="s">
        <v>60</v>
      </c>
      <c r="B69" s="1">
        <v>-515756000</v>
      </c>
      <c r="C69" s="1">
        <v>-243495000</v>
      </c>
      <c r="D69" s="1">
        <v>51275000</v>
      </c>
      <c r="E69" s="1">
        <v>293827000</v>
      </c>
      <c r="F69" s="1">
        <v>576585000</v>
      </c>
      <c r="G69" s="1">
        <v>905727000</v>
      </c>
      <c r="H69" s="1">
        <v>1254107000</v>
      </c>
      <c r="I69" s="1">
        <v>1654149000</v>
      </c>
      <c r="J69" s="1">
        <v>2161726000</v>
      </c>
      <c r="K69" s="1">
        <v>2752900000</v>
      </c>
      <c r="L69" s="1">
        <v>3308000000</v>
      </c>
      <c r="M69" s="1">
        <v>3942600000</v>
      </c>
      <c r="N69" s="1">
        <v>4228400000</v>
      </c>
      <c r="O69" s="1">
        <v>4762200000</v>
      </c>
      <c r="P69" s="1">
        <v>5240400000</v>
      </c>
      <c r="Q69" s="1">
        <v>5999100000</v>
      </c>
    </row>
    <row r="70" spans="1:17" ht="19" x14ac:dyDescent="0.25">
      <c r="A70" s="5" t="s">
        <v>61</v>
      </c>
      <c r="B70" s="1">
        <v>-8699000</v>
      </c>
      <c r="C70" s="1">
        <v>-82434000</v>
      </c>
      <c r="D70" s="1">
        <v>-53628000</v>
      </c>
      <c r="E70" s="1">
        <v>-55803000</v>
      </c>
      <c r="F70" s="1">
        <v>-78287000</v>
      </c>
      <c r="G70" s="1">
        <v>-89160000</v>
      </c>
      <c r="H70" s="1">
        <v>-43488000</v>
      </c>
      <c r="I70" s="1">
        <v>-80514000</v>
      </c>
      <c r="J70" s="1">
        <v>-242052000</v>
      </c>
      <c r="K70" s="1">
        <v>-650800000</v>
      </c>
      <c r="L70" s="1">
        <v>-412300000</v>
      </c>
      <c r="M70" s="1">
        <v>-591900000</v>
      </c>
      <c r="N70" s="1">
        <v>-486900000</v>
      </c>
      <c r="O70" s="1">
        <v>-375700000</v>
      </c>
      <c r="P70" s="1">
        <v>-394600000</v>
      </c>
      <c r="Q70" s="1">
        <v>-731200000</v>
      </c>
    </row>
    <row r="71" spans="1:17" ht="19" x14ac:dyDescent="0.25">
      <c r="A71" s="5" t="s">
        <v>62</v>
      </c>
      <c r="B71" s="1">
        <v>-678993000</v>
      </c>
      <c r="C71" s="1">
        <v>-683994000</v>
      </c>
      <c r="D71" s="1">
        <v>-32726000</v>
      </c>
      <c r="E71" s="1">
        <v>-352601000</v>
      </c>
      <c r="F71" s="1">
        <v>-596925000</v>
      </c>
      <c r="G71" s="1">
        <v>-561113000</v>
      </c>
      <c r="H71" s="1">
        <v>-663167000</v>
      </c>
      <c r="I71" s="1">
        <v>-1362729000</v>
      </c>
      <c r="J71" s="1">
        <v>-547800000</v>
      </c>
      <c r="K71" s="1">
        <v>-769800000</v>
      </c>
      <c r="L71" s="1">
        <v>-970400000</v>
      </c>
      <c r="M71" s="1">
        <v>-1280200000</v>
      </c>
      <c r="N71" s="1">
        <v>-1480800000</v>
      </c>
      <c r="O71" s="1">
        <v>-1688400000</v>
      </c>
      <c r="P71" s="1">
        <v>-2029400000</v>
      </c>
      <c r="Q71" s="1" t="s">
        <v>91</v>
      </c>
    </row>
    <row r="72" spans="1:17" ht="19" x14ac:dyDescent="0.25">
      <c r="A72" s="6" t="s">
        <v>63</v>
      </c>
      <c r="B72" s="10">
        <v>-1203348000</v>
      </c>
      <c r="C72" s="10">
        <v>-1009823000</v>
      </c>
      <c r="D72" s="10">
        <v>-34949000</v>
      </c>
      <c r="E72" s="10">
        <v>-114442000</v>
      </c>
      <c r="F72" s="10">
        <v>-98490000</v>
      </c>
      <c r="G72" s="10">
        <v>255591000</v>
      </c>
      <c r="H72" s="10">
        <v>547589000</v>
      </c>
      <c r="I72" s="10">
        <v>211043000</v>
      </c>
      <c r="J72" s="10">
        <v>1372011000</v>
      </c>
      <c r="K72" s="10">
        <v>1332400000</v>
      </c>
      <c r="L72" s="10">
        <v>1925400000</v>
      </c>
      <c r="M72" s="10">
        <v>2070600000</v>
      </c>
      <c r="N72" s="10">
        <v>2260800000</v>
      </c>
      <c r="O72" s="10">
        <v>2698200000</v>
      </c>
      <c r="P72" s="10">
        <v>2816500000</v>
      </c>
      <c r="Q72" s="10">
        <v>1749300000</v>
      </c>
    </row>
    <row r="73" spans="1:17" ht="20" thickBot="1" x14ac:dyDescent="0.3">
      <c r="A73" s="7" t="s">
        <v>64</v>
      </c>
      <c r="B73" s="11">
        <v>830041000</v>
      </c>
      <c r="C73" s="11">
        <v>928877000</v>
      </c>
      <c r="D73" s="11">
        <v>996953000</v>
      </c>
      <c r="E73" s="11">
        <v>1217090000</v>
      </c>
      <c r="F73" s="11">
        <v>1541106000</v>
      </c>
      <c r="G73" s="11">
        <v>2360336000</v>
      </c>
      <c r="H73" s="11">
        <v>2504451000</v>
      </c>
      <c r="I73" s="11">
        <v>2345330000</v>
      </c>
      <c r="J73" s="11">
        <v>5615927000</v>
      </c>
      <c r="K73" s="11">
        <v>4631200000</v>
      </c>
      <c r="L73" s="11">
        <v>6020300000</v>
      </c>
      <c r="M73" s="11">
        <v>5900300000</v>
      </c>
      <c r="N73" s="11">
        <v>7055200000</v>
      </c>
      <c r="O73" s="11">
        <v>7561800000</v>
      </c>
      <c r="P73" s="11">
        <v>7782100000</v>
      </c>
      <c r="Q73" s="11">
        <v>6942700000</v>
      </c>
    </row>
    <row r="74" spans="1:1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v>150374000</v>
      </c>
      <c r="C76" s="1">
        <v>158228000</v>
      </c>
      <c r="D76" s="1">
        <v>126614000</v>
      </c>
      <c r="E76" s="1">
        <v>242552000</v>
      </c>
      <c r="F76" s="1" t="s">
        <v>91</v>
      </c>
      <c r="G76" s="1">
        <v>329142000</v>
      </c>
      <c r="H76" s="1">
        <v>348380000</v>
      </c>
      <c r="I76" s="1">
        <v>400042000</v>
      </c>
      <c r="J76" s="1">
        <v>507577000</v>
      </c>
      <c r="K76" s="1">
        <v>591200000</v>
      </c>
      <c r="L76" s="1">
        <v>555100000</v>
      </c>
      <c r="M76" s="1">
        <v>598700000</v>
      </c>
      <c r="N76" s="1">
        <v>449900000</v>
      </c>
      <c r="O76" s="1">
        <v>712700000</v>
      </c>
      <c r="P76" s="1">
        <v>666300000</v>
      </c>
      <c r="Q76" s="1">
        <v>954300000</v>
      </c>
    </row>
    <row r="77" spans="1:17" ht="19" x14ac:dyDescent="0.25">
      <c r="A77" s="5" t="s">
        <v>13</v>
      </c>
      <c r="B77" s="1">
        <v>65759000</v>
      </c>
      <c r="C77" s="1">
        <v>64872000</v>
      </c>
      <c r="D77" s="1">
        <v>71199000</v>
      </c>
      <c r="E77" s="1">
        <v>68126000</v>
      </c>
      <c r="F77" s="1">
        <v>78619000</v>
      </c>
      <c r="G77" s="1">
        <v>104199000</v>
      </c>
      <c r="H77" s="1">
        <v>134578000</v>
      </c>
      <c r="I77" s="1">
        <v>143483000</v>
      </c>
      <c r="J77" s="1">
        <v>215484000</v>
      </c>
      <c r="K77" s="1">
        <v>224600000</v>
      </c>
      <c r="L77" s="1">
        <v>237400000</v>
      </c>
      <c r="M77" s="1">
        <v>296100000</v>
      </c>
      <c r="N77" s="1">
        <v>323700000</v>
      </c>
      <c r="O77" s="1">
        <v>358100000</v>
      </c>
      <c r="P77" s="1">
        <v>383600000</v>
      </c>
      <c r="Q77" s="1">
        <v>340000000</v>
      </c>
    </row>
    <row r="78" spans="1:17" ht="19" x14ac:dyDescent="0.25">
      <c r="A78" s="5" t="s">
        <v>67</v>
      </c>
      <c r="B78" s="1">
        <v>-5698000</v>
      </c>
      <c r="C78" s="1">
        <v>19895000</v>
      </c>
      <c r="D78" s="1">
        <v>12190000</v>
      </c>
      <c r="E78" s="1">
        <v>10294000</v>
      </c>
      <c r="F78" s="1">
        <v>21321000</v>
      </c>
      <c r="G78" s="1">
        <v>63261000</v>
      </c>
      <c r="H78" s="1">
        <v>44140000</v>
      </c>
      <c r="I78" s="1">
        <v>24491000</v>
      </c>
      <c r="J78" s="1">
        <v>-4050000</v>
      </c>
      <c r="K78" s="1">
        <v>14800000</v>
      </c>
      <c r="L78" s="1">
        <v>-73600000</v>
      </c>
      <c r="M78" s="1">
        <v>18300000</v>
      </c>
      <c r="N78" s="1">
        <v>-29300000</v>
      </c>
      <c r="O78" s="1">
        <v>31100000</v>
      </c>
      <c r="P78" s="1">
        <v>49800000</v>
      </c>
      <c r="Q78" s="1">
        <v>-261000000</v>
      </c>
    </row>
    <row r="79" spans="1:17" ht="19" x14ac:dyDescent="0.25">
      <c r="A79" s="5" t="s">
        <v>68</v>
      </c>
      <c r="B79" s="1">
        <v>8244000</v>
      </c>
      <c r="C79" s="1">
        <v>9881000</v>
      </c>
      <c r="D79" s="1">
        <v>12744000</v>
      </c>
      <c r="E79" s="1">
        <v>21298000</v>
      </c>
      <c r="F79" s="1">
        <v>22656000</v>
      </c>
      <c r="G79" s="1">
        <v>37807000</v>
      </c>
      <c r="H79" s="1">
        <v>36017000</v>
      </c>
      <c r="I79" s="1">
        <v>35604000</v>
      </c>
      <c r="J79" s="1">
        <v>44618000</v>
      </c>
      <c r="K79" s="1">
        <v>44500000</v>
      </c>
      <c r="L79" s="1">
        <v>31800000</v>
      </c>
      <c r="M79" s="1">
        <v>38500000</v>
      </c>
      <c r="N79" s="1">
        <v>42700000</v>
      </c>
      <c r="O79" s="1">
        <v>47600000</v>
      </c>
      <c r="P79" s="1">
        <v>55700000</v>
      </c>
      <c r="Q79" s="1">
        <v>56500000</v>
      </c>
    </row>
    <row r="80" spans="1:17" ht="19" x14ac:dyDescent="0.25">
      <c r="A80" s="14" t="s">
        <v>103</v>
      </c>
      <c r="B80" s="15">
        <f t="shared" ref="B80:Q80" si="8">B79/B3</f>
        <v>1.0276803021709186E-2</v>
      </c>
      <c r="C80" s="15">
        <f t="shared" si="8"/>
        <v>1.105813888422584E-2</v>
      </c>
      <c r="D80" s="15">
        <f t="shared" si="8"/>
        <v>1.2407701654360221E-2</v>
      </c>
      <c r="E80" s="15">
        <f t="shared" si="8"/>
        <v>1.8709650781882088E-2</v>
      </c>
      <c r="F80" s="15">
        <f t="shared" si="8"/>
        <v>1.7011052378664102E-2</v>
      </c>
      <c r="G80" s="15">
        <f t="shared" si="8"/>
        <v>2.4640883257729809E-2</v>
      </c>
      <c r="H80" s="15">
        <f t="shared" si="8"/>
        <v>2.2571242894197728E-2</v>
      </c>
      <c r="I80" s="15">
        <f t="shared" si="8"/>
        <v>2.0383277056619069E-2</v>
      </c>
      <c r="J80" s="15">
        <f t="shared" si="8"/>
        <v>2.1575330873641812E-2</v>
      </c>
      <c r="K80" s="15">
        <f t="shared" si="8"/>
        <v>2.2303528468323976E-2</v>
      </c>
      <c r="L80" s="15">
        <f t="shared" si="8"/>
        <v>1.4823792653365654E-2</v>
      </c>
      <c r="M80" s="15">
        <f t="shared" si="8"/>
        <v>1.6074485407707402E-2</v>
      </c>
      <c r="N80" s="15">
        <f t="shared" si="8"/>
        <v>1.6378351424954932E-2</v>
      </c>
      <c r="O80" s="15">
        <f t="shared" si="8"/>
        <v>1.7094017094017096E-2</v>
      </c>
      <c r="P80" s="15">
        <f t="shared" si="8"/>
        <v>1.8575335156406324E-2</v>
      </c>
      <c r="Q80" s="15">
        <f t="shared" si="8"/>
        <v>2.2627152583099719E-2</v>
      </c>
    </row>
    <row r="81" spans="1:25" ht="19" x14ac:dyDescent="0.25">
      <c r="A81" s="5" t="s">
        <v>69</v>
      </c>
      <c r="B81" s="1">
        <v>10798000</v>
      </c>
      <c r="C81" s="1">
        <v>-8035000</v>
      </c>
      <c r="D81" s="1">
        <v>38265000</v>
      </c>
      <c r="E81" s="1">
        <v>28506000</v>
      </c>
      <c r="F81" s="1">
        <v>10479000</v>
      </c>
      <c r="G81" s="1">
        <v>-10104000</v>
      </c>
      <c r="H81" s="1">
        <v>47388000</v>
      </c>
      <c r="I81" s="1">
        <v>-31435000</v>
      </c>
      <c r="J81" s="1">
        <v>-14336000</v>
      </c>
      <c r="K81" s="1">
        <v>-39100000</v>
      </c>
      <c r="L81" s="1">
        <v>-13500000</v>
      </c>
      <c r="M81" s="1">
        <v>-15100000</v>
      </c>
      <c r="N81" s="1">
        <v>152600000</v>
      </c>
      <c r="O81" s="1">
        <v>-77400000</v>
      </c>
      <c r="P81" s="1">
        <v>-153200000</v>
      </c>
      <c r="Q81" s="1">
        <v>-30800000</v>
      </c>
    </row>
    <row r="82" spans="1:25" ht="19" x14ac:dyDescent="0.25">
      <c r="A82" s="5" t="s">
        <v>70</v>
      </c>
      <c r="B82" s="1">
        <v>3908000</v>
      </c>
      <c r="C82" s="1">
        <v>3609000</v>
      </c>
      <c r="D82" s="1">
        <v>-1990000</v>
      </c>
      <c r="E82" s="1">
        <v>-24559000</v>
      </c>
      <c r="F82" s="1">
        <v>-25926000</v>
      </c>
      <c r="G82" s="1">
        <v>-6425000</v>
      </c>
      <c r="H82" s="1">
        <v>2106000</v>
      </c>
      <c r="I82" s="1">
        <v>-54515000</v>
      </c>
      <c r="J82" s="1">
        <v>-14609000</v>
      </c>
      <c r="K82" s="1">
        <v>-5700000</v>
      </c>
      <c r="L82" s="1">
        <v>-45500000</v>
      </c>
      <c r="M82" s="1">
        <v>-17400000</v>
      </c>
      <c r="N82" s="1">
        <v>-70300000</v>
      </c>
      <c r="O82" s="1">
        <v>1800000</v>
      </c>
      <c r="P82" s="1">
        <v>-29700000</v>
      </c>
      <c r="Q82" s="1">
        <v>-57700000</v>
      </c>
    </row>
    <row r="83" spans="1:2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row>
    <row r="84" spans="1:2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v>24300000</v>
      </c>
      <c r="P84" s="1">
        <v>-80800000</v>
      </c>
      <c r="Q84" s="1" t="s">
        <v>91</v>
      </c>
      <c r="R84" s="49"/>
      <c r="S84" s="49"/>
      <c r="T84" s="49"/>
      <c r="U84" s="49"/>
      <c r="V84" s="49"/>
      <c r="W84" s="49"/>
      <c r="X84" s="74" t="s">
        <v>132</v>
      </c>
      <c r="Y84" s="75"/>
    </row>
    <row r="85" spans="1:25" ht="20" customHeight="1" x14ac:dyDescent="0.25">
      <c r="A85" s="5" t="s">
        <v>71</v>
      </c>
      <c r="B85" s="1">
        <v>2918000</v>
      </c>
      <c r="C85" s="1">
        <v>-8233000</v>
      </c>
      <c r="D85" s="1">
        <v>39108000</v>
      </c>
      <c r="E85" s="1">
        <v>3273000</v>
      </c>
      <c r="F85" s="1">
        <v>11284000</v>
      </c>
      <c r="G85" s="1">
        <v>-1625000</v>
      </c>
      <c r="H85" s="1">
        <v>55239000</v>
      </c>
      <c r="I85" s="1">
        <v>21072000</v>
      </c>
      <c r="J85" s="1">
        <v>-5670000</v>
      </c>
      <c r="K85" s="1">
        <v>-9400000</v>
      </c>
      <c r="L85" s="1">
        <v>51900000</v>
      </c>
      <c r="M85" s="1">
        <v>-2100000</v>
      </c>
      <c r="N85" s="1">
        <v>26400000</v>
      </c>
      <c r="O85" s="1">
        <v>21200000</v>
      </c>
      <c r="P85" s="1">
        <v>26700000</v>
      </c>
      <c r="Q85" s="1" t="s">
        <v>91</v>
      </c>
      <c r="R85" s="49"/>
      <c r="S85" s="49"/>
      <c r="T85" s="49"/>
      <c r="U85" s="49"/>
      <c r="V85" s="49"/>
      <c r="W85" s="49"/>
      <c r="X85" s="77" t="s">
        <v>133</v>
      </c>
      <c r="Y85" s="77"/>
    </row>
    <row r="86" spans="1:25" ht="20" x14ac:dyDescent="0.25">
      <c r="A86" s="5" t="s">
        <v>72</v>
      </c>
      <c r="B86" s="1">
        <v>19044000</v>
      </c>
      <c r="C86" s="1">
        <v>3065000</v>
      </c>
      <c r="D86" s="1">
        <v>65389000</v>
      </c>
      <c r="E86" s="1">
        <v>-34744000</v>
      </c>
      <c r="F86" s="1">
        <v>242646000</v>
      </c>
      <c r="G86" s="1">
        <v>-56076000</v>
      </c>
      <c r="H86" s="1">
        <v>-103583000</v>
      </c>
      <c r="I86" s="1">
        <v>-82733000</v>
      </c>
      <c r="J86" s="1">
        <v>-125606000</v>
      </c>
      <c r="K86" s="1">
        <v>-289900000</v>
      </c>
      <c r="L86" s="1">
        <v>6300000</v>
      </c>
      <c r="M86" s="1">
        <v>-2100000</v>
      </c>
      <c r="N86" s="1">
        <v>16700000</v>
      </c>
      <c r="O86" s="1">
        <v>-3900000</v>
      </c>
      <c r="P86" s="1">
        <v>153500000</v>
      </c>
      <c r="Q86" s="1" t="s">
        <v>91</v>
      </c>
      <c r="R86" s="49"/>
      <c r="S86" s="49"/>
      <c r="T86" s="49"/>
      <c r="U86" s="49"/>
      <c r="V86" s="49"/>
      <c r="W86" s="49"/>
      <c r="X86" s="24" t="s">
        <v>134</v>
      </c>
      <c r="Y86" s="50">
        <f>Q17</f>
        <v>138800000</v>
      </c>
    </row>
    <row r="87" spans="1:25" ht="20" x14ac:dyDescent="0.25">
      <c r="A87" s="6" t="s">
        <v>73</v>
      </c>
      <c r="B87" s="10">
        <v>248521000</v>
      </c>
      <c r="C87" s="10">
        <v>247906000</v>
      </c>
      <c r="D87" s="10">
        <v>326401000</v>
      </c>
      <c r="E87" s="10">
        <v>336032000</v>
      </c>
      <c r="F87" s="10">
        <v>375721000</v>
      </c>
      <c r="G87" s="10">
        <v>468229000</v>
      </c>
      <c r="H87" s="10">
        <v>506920000</v>
      </c>
      <c r="I87" s="10">
        <v>489452000</v>
      </c>
      <c r="J87" s="10">
        <v>623687000</v>
      </c>
      <c r="K87" s="10">
        <v>546100000</v>
      </c>
      <c r="L87" s="10">
        <v>743500000</v>
      </c>
      <c r="M87" s="10">
        <v>934400000</v>
      </c>
      <c r="N87" s="10">
        <v>956300000</v>
      </c>
      <c r="O87" s="10">
        <v>1068200000</v>
      </c>
      <c r="P87" s="10">
        <v>1155700000</v>
      </c>
      <c r="Q87" s="10">
        <v>1059000000</v>
      </c>
      <c r="R87" s="49"/>
      <c r="S87" s="49"/>
      <c r="T87" s="49"/>
      <c r="U87" s="49"/>
      <c r="V87" s="49"/>
      <c r="W87" s="49"/>
      <c r="X87" s="24" t="s">
        <v>135</v>
      </c>
      <c r="Y87" s="50">
        <f>Q56</f>
        <v>1422400000</v>
      </c>
    </row>
    <row r="88" spans="1:25" ht="20" x14ac:dyDescent="0.25">
      <c r="A88" s="5" t="s">
        <v>74</v>
      </c>
      <c r="B88" s="1">
        <v>-32941000</v>
      </c>
      <c r="C88" s="1">
        <v>-30652000</v>
      </c>
      <c r="D88" s="1">
        <v>-38694000</v>
      </c>
      <c r="E88" s="1">
        <v>-38641000</v>
      </c>
      <c r="F88" s="1">
        <v>-59829000</v>
      </c>
      <c r="G88" s="1">
        <v>-74373000</v>
      </c>
      <c r="H88" s="1">
        <v>-145976000</v>
      </c>
      <c r="I88" s="1">
        <v>-146818000</v>
      </c>
      <c r="J88" s="1">
        <v>-165584000</v>
      </c>
      <c r="K88" s="1">
        <v>-156000000</v>
      </c>
      <c r="L88" s="1">
        <v>-190700000</v>
      </c>
      <c r="M88" s="1">
        <v>-234100000</v>
      </c>
      <c r="N88" s="1">
        <v>-224200000</v>
      </c>
      <c r="O88" s="1">
        <v>-215900000</v>
      </c>
      <c r="P88" s="1">
        <v>-268200000</v>
      </c>
      <c r="Q88" s="1">
        <v>-323000000</v>
      </c>
      <c r="R88" s="49"/>
      <c r="S88" s="49"/>
      <c r="T88" s="49"/>
      <c r="U88" s="49"/>
      <c r="V88" s="49"/>
      <c r="W88" s="49"/>
      <c r="X88" s="24" t="s">
        <v>136</v>
      </c>
      <c r="Y88" s="50">
        <f>Q61</f>
        <v>2533100000</v>
      </c>
    </row>
    <row r="89" spans="1:25" ht="20" customHeight="1" x14ac:dyDescent="0.25">
      <c r="A89" s="14" t="s">
        <v>104</v>
      </c>
      <c r="B89" s="15">
        <f t="shared" ref="B89:Q89" si="9">(-1*B88)/B3</f>
        <v>4.1063581797443266E-2</v>
      </c>
      <c r="C89" s="15">
        <f t="shared" si="9"/>
        <v>3.4303620390576911E-2</v>
      </c>
      <c r="D89" s="15">
        <f t="shared" si="9"/>
        <v>3.7672913356388449E-2</v>
      </c>
      <c r="E89" s="15">
        <f t="shared" si="9"/>
        <v>3.3944953322504731E-2</v>
      </c>
      <c r="F89" s="15">
        <f t="shared" si="9"/>
        <v>4.4922062710235466E-2</v>
      </c>
      <c r="G89" s="15">
        <f t="shared" si="9"/>
        <v>4.8472939152197719E-2</v>
      </c>
      <c r="H89" s="15">
        <f t="shared" si="9"/>
        <v>9.1480682808768296E-2</v>
      </c>
      <c r="I89" s="15">
        <f t="shared" si="9"/>
        <v>8.4053251626185224E-2</v>
      </c>
      <c r="J89" s="15">
        <f t="shared" si="9"/>
        <v>8.0069245313127119E-2</v>
      </c>
      <c r="K89" s="15">
        <f t="shared" si="9"/>
        <v>7.8187650360866084E-2</v>
      </c>
      <c r="L89" s="15">
        <f t="shared" si="9"/>
        <v>8.8896140220026107E-2</v>
      </c>
      <c r="M89" s="15">
        <f t="shared" si="9"/>
        <v>9.7741221660890984E-2</v>
      </c>
      <c r="N89" s="15">
        <f t="shared" si="9"/>
        <v>8.5995934179739941E-2</v>
      </c>
      <c r="O89" s="15">
        <f t="shared" si="9"/>
        <v>7.7533577533577536E-2</v>
      </c>
      <c r="P89" s="15">
        <f t="shared" si="9"/>
        <v>8.9441739478423266E-2</v>
      </c>
      <c r="Q89" s="15">
        <f t="shared" si="9"/>
        <v>0.12935522627152582</v>
      </c>
      <c r="R89" s="49"/>
      <c r="S89" s="49"/>
      <c r="T89" s="49"/>
      <c r="U89" s="49"/>
      <c r="V89" s="49"/>
      <c r="W89" s="49"/>
      <c r="X89" s="41" t="s">
        <v>137</v>
      </c>
      <c r="Y89" s="51">
        <f>Y86/(Y87+Y88)</f>
        <v>3.5090380482871948E-2</v>
      </c>
    </row>
    <row r="90" spans="1:25" ht="20" x14ac:dyDescent="0.25">
      <c r="A90" s="5" t="s">
        <v>75</v>
      </c>
      <c r="B90" s="1">
        <v>-50658000</v>
      </c>
      <c r="C90" s="1">
        <v>-18951000</v>
      </c>
      <c r="D90" s="1">
        <v>-61350000</v>
      </c>
      <c r="E90" s="1">
        <v>-205558000</v>
      </c>
      <c r="F90" s="1">
        <v>-141281000</v>
      </c>
      <c r="G90" s="1">
        <v>-806858000</v>
      </c>
      <c r="H90" s="1">
        <v>-703000</v>
      </c>
      <c r="I90" s="1">
        <v>115978000</v>
      </c>
      <c r="J90" s="1">
        <v>-2941644000</v>
      </c>
      <c r="K90" s="1">
        <v>640500000</v>
      </c>
      <c r="L90" s="1">
        <v>-914900000</v>
      </c>
      <c r="M90" s="1">
        <v>-153100000</v>
      </c>
      <c r="N90" s="1">
        <v>-703700000</v>
      </c>
      <c r="O90" s="1">
        <v>-285100000</v>
      </c>
      <c r="P90" s="1">
        <v>-323800000</v>
      </c>
      <c r="Q90" s="1">
        <v>624400000</v>
      </c>
      <c r="R90" s="49"/>
      <c r="S90" s="49"/>
      <c r="T90" s="49"/>
      <c r="U90" s="49"/>
      <c r="V90" s="49"/>
      <c r="W90" s="49"/>
      <c r="X90" s="24" t="s">
        <v>105</v>
      </c>
      <c r="Y90" s="50">
        <f>Q27</f>
        <v>220300000</v>
      </c>
    </row>
    <row r="91" spans="1:25" ht="20" x14ac:dyDescent="0.25">
      <c r="A91" s="5" t="s">
        <v>76</v>
      </c>
      <c r="B91" s="1">
        <v>-44101000</v>
      </c>
      <c r="C91" s="1">
        <v>-361000</v>
      </c>
      <c r="D91" s="1">
        <v>-575000</v>
      </c>
      <c r="E91" s="1">
        <v>-516000</v>
      </c>
      <c r="F91" s="1">
        <v>-1549000</v>
      </c>
      <c r="G91" s="1">
        <v>-4034000</v>
      </c>
      <c r="H91" s="1">
        <v>-5870000</v>
      </c>
      <c r="I91" s="1">
        <v>-5203000</v>
      </c>
      <c r="J91" s="1">
        <v>-266000</v>
      </c>
      <c r="K91" s="1">
        <v>-300000</v>
      </c>
      <c r="L91" s="1">
        <v>-300000</v>
      </c>
      <c r="M91" s="1">
        <v>-100000</v>
      </c>
      <c r="N91" s="1" t="s">
        <v>91</v>
      </c>
      <c r="O91" s="1">
        <v>-94800000</v>
      </c>
      <c r="P91" s="1" t="s">
        <v>91</v>
      </c>
      <c r="Q91" s="1" t="s">
        <v>91</v>
      </c>
      <c r="R91" s="49"/>
      <c r="S91" s="49"/>
      <c r="T91" s="49"/>
      <c r="U91" s="49"/>
      <c r="V91" s="49"/>
      <c r="W91" s="49"/>
      <c r="X91" s="24" t="s">
        <v>19</v>
      </c>
      <c r="Y91" s="50">
        <f>Q25</f>
        <v>1262400000</v>
      </c>
    </row>
    <row r="92" spans="1:25" ht="20" x14ac:dyDescent="0.25">
      <c r="A92" s="5" t="s">
        <v>77</v>
      </c>
      <c r="B92" s="1">
        <v>22872000</v>
      </c>
      <c r="C92" s="1">
        <v>21724000</v>
      </c>
      <c r="D92" s="1">
        <v>886000</v>
      </c>
      <c r="E92" s="1">
        <v>743000</v>
      </c>
      <c r="F92" s="1">
        <v>1730000</v>
      </c>
      <c r="G92" s="1">
        <v>1932000</v>
      </c>
      <c r="H92" s="1">
        <v>7484000</v>
      </c>
      <c r="I92" s="1">
        <v>513000</v>
      </c>
      <c r="J92" s="1">
        <v>101177000</v>
      </c>
      <c r="K92" s="1">
        <v>9000000</v>
      </c>
      <c r="L92" s="1">
        <v>400000</v>
      </c>
      <c r="M92" s="1">
        <v>121900000</v>
      </c>
      <c r="N92" s="1" t="s">
        <v>91</v>
      </c>
      <c r="O92" s="1" t="s">
        <v>91</v>
      </c>
      <c r="P92" s="1" t="s">
        <v>91</v>
      </c>
      <c r="Q92" s="1" t="s">
        <v>91</v>
      </c>
      <c r="R92" s="49"/>
      <c r="S92" s="49"/>
      <c r="T92" s="49"/>
      <c r="U92" s="49"/>
      <c r="V92" s="49"/>
      <c r="W92" s="49"/>
      <c r="X92" s="41" t="s">
        <v>138</v>
      </c>
      <c r="Y92" s="51">
        <f>Y90/Y91</f>
        <v>0.17450887198986059</v>
      </c>
    </row>
    <row r="93" spans="1:25" ht="19" customHeight="1" x14ac:dyDescent="0.25">
      <c r="A93" s="5" t="s">
        <v>78</v>
      </c>
      <c r="B93" s="1">
        <v>-6003000</v>
      </c>
      <c r="C93" s="1">
        <v>-102226000</v>
      </c>
      <c r="D93" s="1">
        <v>-85607000</v>
      </c>
      <c r="E93" s="1">
        <v>283000</v>
      </c>
      <c r="F93" s="1">
        <v>-3200000</v>
      </c>
      <c r="G93" s="1">
        <v>-250000</v>
      </c>
      <c r="H93" s="1">
        <v>-561000</v>
      </c>
      <c r="I93" s="1">
        <v>-146818000</v>
      </c>
      <c r="J93" s="1">
        <v>-165584000</v>
      </c>
      <c r="K93" s="1">
        <v>-156000000</v>
      </c>
      <c r="L93" s="1">
        <v>-190700000</v>
      </c>
      <c r="M93" s="1">
        <v>-234100000</v>
      </c>
      <c r="N93" s="1">
        <v>-224200000</v>
      </c>
      <c r="O93" s="1">
        <v>-215900000</v>
      </c>
      <c r="P93" s="1">
        <v>-268200000</v>
      </c>
      <c r="Q93" s="1">
        <v>-323000000</v>
      </c>
      <c r="R93" s="49"/>
      <c r="S93" s="49"/>
      <c r="T93" s="49"/>
      <c r="U93" s="49"/>
      <c r="V93" s="49"/>
      <c r="W93" s="49"/>
      <c r="X93" s="41" t="s">
        <v>139</v>
      </c>
      <c r="Y93" s="51">
        <f>Y89*(1-Y92)</f>
        <v>2.8966797767110943E-2</v>
      </c>
    </row>
    <row r="94" spans="1:25" ht="20" customHeight="1" x14ac:dyDescent="0.25">
      <c r="A94" s="6" t="s">
        <v>79</v>
      </c>
      <c r="B94" s="10">
        <v>-110831000</v>
      </c>
      <c r="C94" s="10">
        <v>-130466000</v>
      </c>
      <c r="D94" s="10">
        <v>-185340000</v>
      </c>
      <c r="E94" s="10">
        <v>-243689000</v>
      </c>
      <c r="F94" s="10">
        <v>-204129000</v>
      </c>
      <c r="G94" s="10">
        <v>-883583000</v>
      </c>
      <c r="H94" s="10">
        <v>-145626000</v>
      </c>
      <c r="I94" s="10">
        <v>-35530000</v>
      </c>
      <c r="J94" s="10">
        <v>-3006317000</v>
      </c>
      <c r="K94" s="10">
        <v>493200000</v>
      </c>
      <c r="L94" s="10">
        <v>-1105500000</v>
      </c>
      <c r="M94" s="10">
        <v>-265400000</v>
      </c>
      <c r="N94" s="10">
        <v>-927900000</v>
      </c>
      <c r="O94" s="10">
        <v>-595800000</v>
      </c>
      <c r="P94" s="10">
        <v>-592000000</v>
      </c>
      <c r="Q94" s="10">
        <v>301400000</v>
      </c>
      <c r="R94" s="49"/>
      <c r="S94" s="49"/>
      <c r="T94" s="49"/>
      <c r="U94" s="49"/>
      <c r="V94" s="49"/>
      <c r="W94" s="49"/>
      <c r="X94" s="77" t="s">
        <v>140</v>
      </c>
      <c r="Y94" s="77"/>
    </row>
    <row r="95" spans="1:25" ht="20" x14ac:dyDescent="0.25">
      <c r="A95" s="5" t="s">
        <v>80</v>
      </c>
      <c r="B95" s="1">
        <v>-136008000</v>
      </c>
      <c r="C95" s="1">
        <v>-35287000</v>
      </c>
      <c r="D95" s="1">
        <v>-163754000</v>
      </c>
      <c r="E95" s="1" t="s">
        <v>91</v>
      </c>
      <c r="F95" s="1">
        <v>-555000000</v>
      </c>
      <c r="G95" s="1">
        <v>-347224000</v>
      </c>
      <c r="H95" s="1">
        <v>-190000000</v>
      </c>
      <c r="I95" s="1" t="s">
        <v>91</v>
      </c>
      <c r="J95" s="1">
        <v>-340000000</v>
      </c>
      <c r="K95" s="1">
        <v>-770000000</v>
      </c>
      <c r="L95" s="1" t="s">
        <v>91</v>
      </c>
      <c r="M95" s="1">
        <v>-300000000</v>
      </c>
      <c r="N95" s="1">
        <v>-250000000</v>
      </c>
      <c r="O95" s="1">
        <v>-465000000</v>
      </c>
      <c r="P95" s="1">
        <v>-450000000</v>
      </c>
      <c r="Q95" s="1">
        <v>-350000000</v>
      </c>
      <c r="R95" s="49"/>
      <c r="S95" s="49"/>
      <c r="T95" s="49"/>
      <c r="U95" s="49"/>
      <c r="V95" s="49"/>
      <c r="W95" s="49"/>
      <c r="X95" s="24" t="s">
        <v>141</v>
      </c>
      <c r="Y95" s="48">
        <f>'[1]US Treasury Bonds'!$C$8</f>
        <v>4.9530000000000005E-2</v>
      </c>
    </row>
    <row r="96" spans="1:25" ht="20" x14ac:dyDescent="0.25">
      <c r="A96" s="5" t="s">
        <v>81</v>
      </c>
      <c r="B96" s="1" t="s">
        <v>91</v>
      </c>
      <c r="C96" s="1" t="s">
        <v>91</v>
      </c>
      <c r="D96" s="1" t="s">
        <v>91</v>
      </c>
      <c r="E96" s="1" t="s">
        <v>91</v>
      </c>
      <c r="F96" s="1" t="s">
        <v>91</v>
      </c>
      <c r="G96" s="1" t="s">
        <v>91</v>
      </c>
      <c r="H96" s="1" t="s">
        <v>91</v>
      </c>
      <c r="I96" s="1" t="s">
        <v>91</v>
      </c>
      <c r="J96" s="1">
        <v>720848000</v>
      </c>
      <c r="K96" s="1" t="s">
        <v>91</v>
      </c>
      <c r="L96" s="1" t="s">
        <v>91</v>
      </c>
      <c r="M96" s="1" t="s">
        <v>91</v>
      </c>
      <c r="N96" s="1" t="s">
        <v>91</v>
      </c>
      <c r="O96" s="1" t="s">
        <v>91</v>
      </c>
      <c r="P96" s="1" t="s">
        <v>91</v>
      </c>
      <c r="Q96" s="1" t="s">
        <v>91</v>
      </c>
      <c r="R96" s="49"/>
      <c r="S96" s="49"/>
      <c r="T96" s="49"/>
      <c r="U96" s="49"/>
      <c r="V96" s="49"/>
      <c r="W96" s="49"/>
      <c r="X96" s="24" t="s">
        <v>142</v>
      </c>
      <c r="Y96" s="52" cm="1">
        <f t="array" ref="Y96">_FV(A1,"Beta")</f>
        <v>0.85270000000000001</v>
      </c>
    </row>
    <row r="97" spans="1:25" ht="20" x14ac:dyDescent="0.25">
      <c r="A97" s="5" t="s">
        <v>82</v>
      </c>
      <c r="B97" s="1">
        <v>-204770000</v>
      </c>
      <c r="C97" s="1">
        <v>-392562000</v>
      </c>
      <c r="D97" s="1">
        <v>-46740000</v>
      </c>
      <c r="E97" s="1">
        <v>-420061000</v>
      </c>
      <c r="F97" s="1">
        <v>-381776000</v>
      </c>
      <c r="G97" s="1">
        <v>-162275000</v>
      </c>
      <c r="H97" s="1">
        <v>-277411000</v>
      </c>
      <c r="I97" s="1">
        <v>-778484000</v>
      </c>
      <c r="J97" s="1">
        <v>-20456000</v>
      </c>
      <c r="K97" s="1">
        <v>-326800000</v>
      </c>
      <c r="L97" s="1">
        <v>-276300000</v>
      </c>
      <c r="M97" s="1">
        <v>-438600000</v>
      </c>
      <c r="N97" s="1">
        <v>-300000000</v>
      </c>
      <c r="O97" s="1">
        <v>-348800000</v>
      </c>
      <c r="P97" s="1">
        <v>-475000000</v>
      </c>
      <c r="Q97" s="1">
        <v>-1662500000</v>
      </c>
      <c r="R97" s="49"/>
      <c r="S97" s="49"/>
      <c r="T97" s="49"/>
      <c r="U97" s="49"/>
      <c r="V97" s="49"/>
      <c r="W97" s="49"/>
      <c r="X97" s="24" t="s">
        <v>143</v>
      </c>
      <c r="Y97" s="48">
        <v>8.4000000000000005E-2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-163500000</v>
      </c>
      <c r="O98" s="1">
        <v>-175800000</v>
      </c>
      <c r="P98" s="1">
        <v>-188200000</v>
      </c>
      <c r="Q98" s="1">
        <v>-195200000</v>
      </c>
      <c r="R98" s="49"/>
      <c r="S98" s="49"/>
      <c r="T98" s="49"/>
      <c r="U98" s="49"/>
      <c r="V98" s="49"/>
      <c r="W98" s="49"/>
      <c r="X98" s="41" t="s">
        <v>144</v>
      </c>
      <c r="Y98" s="51">
        <f>(Y95)+((Y96)*(Y97-Y95))</f>
        <v>7.8922568999999998E-2</v>
      </c>
    </row>
    <row r="99" spans="1:25" ht="20" customHeight="1" x14ac:dyDescent="0.25">
      <c r="A99" s="5" t="s">
        <v>84</v>
      </c>
      <c r="B99" s="1">
        <v>128187000</v>
      </c>
      <c r="C99" s="1">
        <v>320473000</v>
      </c>
      <c r="D99" s="1">
        <v>107685000</v>
      </c>
      <c r="E99" s="1">
        <v>311274000</v>
      </c>
      <c r="F99" s="1">
        <v>901996000</v>
      </c>
      <c r="G99" s="1">
        <v>823054000</v>
      </c>
      <c r="H99" s="1">
        <v>182939000</v>
      </c>
      <c r="I99" s="1">
        <v>199406000</v>
      </c>
      <c r="J99" s="1">
        <v>2120621000</v>
      </c>
      <c r="K99" s="1">
        <v>64000000</v>
      </c>
      <c r="L99" s="1">
        <v>638800000</v>
      </c>
      <c r="M99" s="1">
        <v>68800000</v>
      </c>
      <c r="N99" s="1">
        <v>724400000</v>
      </c>
      <c r="O99" s="1">
        <v>544400000</v>
      </c>
      <c r="P99" s="1">
        <v>614300000</v>
      </c>
      <c r="Q99" s="1">
        <v>877500000</v>
      </c>
      <c r="R99" s="49"/>
      <c r="S99" s="49"/>
      <c r="T99" s="49"/>
      <c r="U99" s="49"/>
      <c r="V99" s="49"/>
      <c r="W99" s="49"/>
      <c r="X99" s="77" t="s">
        <v>145</v>
      </c>
      <c r="Y99" s="77"/>
    </row>
    <row r="100" spans="1:25" ht="20" x14ac:dyDescent="0.25">
      <c r="A100" s="6" t="s">
        <v>85</v>
      </c>
      <c r="B100" s="10">
        <v>-212591000</v>
      </c>
      <c r="C100" s="10">
        <v>-107376000</v>
      </c>
      <c r="D100" s="10">
        <v>-102809000</v>
      </c>
      <c r="E100" s="10">
        <v>-108787000</v>
      </c>
      <c r="F100" s="10">
        <v>-34780000</v>
      </c>
      <c r="G100" s="10">
        <v>313555000</v>
      </c>
      <c r="H100" s="10">
        <v>-284472000</v>
      </c>
      <c r="I100" s="10">
        <v>-579078000</v>
      </c>
      <c r="J100" s="10">
        <v>2481013000</v>
      </c>
      <c r="K100" s="10">
        <v>-1032800000</v>
      </c>
      <c r="L100" s="10">
        <v>362500000</v>
      </c>
      <c r="M100" s="10">
        <v>-669800000</v>
      </c>
      <c r="N100" s="10">
        <v>10900000</v>
      </c>
      <c r="O100" s="10">
        <v>-445200000</v>
      </c>
      <c r="P100" s="10">
        <v>-498900000</v>
      </c>
      <c r="Q100" s="10">
        <v>-1330200000</v>
      </c>
      <c r="R100" s="49"/>
      <c r="S100" s="49"/>
      <c r="T100" s="49"/>
      <c r="U100" s="49"/>
      <c r="V100" s="49"/>
      <c r="W100" s="49"/>
      <c r="X100" s="24" t="s">
        <v>146</v>
      </c>
      <c r="Y100" s="50">
        <f>Y87+Y88</f>
        <v>3955500000</v>
      </c>
    </row>
    <row r="101" spans="1:25" ht="20" x14ac:dyDescent="0.25">
      <c r="A101" s="5" t="s">
        <v>86</v>
      </c>
      <c r="B101" s="1">
        <v>-202000</v>
      </c>
      <c r="C101" s="1">
        <v>-928000</v>
      </c>
      <c r="D101" s="1">
        <v>90000</v>
      </c>
      <c r="E101" s="1">
        <v>-109000</v>
      </c>
      <c r="F101" s="1">
        <v>-183000</v>
      </c>
      <c r="G101" s="1">
        <v>15000</v>
      </c>
      <c r="H101" s="1">
        <v>-840000</v>
      </c>
      <c r="I101" s="1">
        <v>-1286000</v>
      </c>
      <c r="J101" s="1">
        <v>606000</v>
      </c>
      <c r="K101" s="1">
        <v>-9700000</v>
      </c>
      <c r="L101" s="1">
        <v>6700000</v>
      </c>
      <c r="M101" s="1">
        <v>-2000000</v>
      </c>
      <c r="N101" s="1">
        <v>6100000</v>
      </c>
      <c r="O101" s="1">
        <v>6700000</v>
      </c>
      <c r="P101" s="1">
        <v>-3300000</v>
      </c>
      <c r="Q101" s="1">
        <v>-17800000</v>
      </c>
      <c r="R101" s="49"/>
      <c r="S101" s="49"/>
      <c r="T101" s="49"/>
      <c r="U101" s="49"/>
      <c r="V101" s="49"/>
      <c r="W101" s="49"/>
      <c r="X101" s="41" t="s">
        <v>147</v>
      </c>
      <c r="Y101" s="51">
        <f>Y100/Y104</f>
        <v>0.10739392207382965</v>
      </c>
    </row>
    <row r="102" spans="1:25" ht="20" x14ac:dyDescent="0.25">
      <c r="A102" s="6" t="s">
        <v>87</v>
      </c>
      <c r="B102" s="10">
        <v>-75103000</v>
      </c>
      <c r="C102" s="10">
        <v>9136000</v>
      </c>
      <c r="D102" s="10">
        <v>38342000</v>
      </c>
      <c r="E102" s="10">
        <v>-16553000</v>
      </c>
      <c r="F102" s="10">
        <v>136629000</v>
      </c>
      <c r="G102" s="10">
        <v>-101784000</v>
      </c>
      <c r="H102" s="10">
        <v>75982000</v>
      </c>
      <c r="I102" s="10">
        <v>-126442000</v>
      </c>
      <c r="J102" s="10">
        <v>98989000</v>
      </c>
      <c r="K102" s="10">
        <v>-3200000</v>
      </c>
      <c r="L102" s="10">
        <v>7200000</v>
      </c>
      <c r="M102" s="10">
        <v>-2800000</v>
      </c>
      <c r="N102" s="10">
        <v>45100000</v>
      </c>
      <c r="O102" s="10">
        <v>34200000</v>
      </c>
      <c r="P102" s="10">
        <v>61500000</v>
      </c>
      <c r="Q102" s="10">
        <v>12400000</v>
      </c>
      <c r="R102" s="49"/>
      <c r="S102" s="49"/>
      <c r="T102" s="49"/>
      <c r="U102" s="49"/>
      <c r="V102" s="49"/>
      <c r="W102" s="49"/>
      <c r="X102" s="24" t="s">
        <v>148</v>
      </c>
      <c r="Y102" s="53" cm="1">
        <f t="array" ref="Y102">_FV(A1,"Market cap",TRUE)</f>
        <v>32876193299</v>
      </c>
    </row>
    <row r="103" spans="1:25" ht="20" x14ac:dyDescent="0.25">
      <c r="A103" s="5" t="s">
        <v>88</v>
      </c>
      <c r="B103" s="1">
        <v>99152000</v>
      </c>
      <c r="C103" s="1">
        <v>24049000</v>
      </c>
      <c r="D103" s="1">
        <v>33185000</v>
      </c>
      <c r="E103" s="1">
        <v>71527000</v>
      </c>
      <c r="F103" s="1">
        <v>54974000</v>
      </c>
      <c r="G103" s="1">
        <v>191603000</v>
      </c>
      <c r="H103" s="1">
        <v>89819000</v>
      </c>
      <c r="I103" s="1">
        <v>165801000</v>
      </c>
      <c r="J103" s="1">
        <v>39359000</v>
      </c>
      <c r="K103" s="1">
        <v>138300000</v>
      </c>
      <c r="L103" s="1">
        <v>135100000</v>
      </c>
      <c r="M103" s="1">
        <v>142300000</v>
      </c>
      <c r="N103" s="1">
        <v>139500000</v>
      </c>
      <c r="O103" s="1">
        <v>184600000</v>
      </c>
      <c r="P103" s="1">
        <v>218800000</v>
      </c>
      <c r="Q103" s="1">
        <v>280300000</v>
      </c>
      <c r="R103" s="49"/>
      <c r="S103" s="49"/>
      <c r="T103" s="49"/>
      <c r="U103" s="49"/>
      <c r="V103" s="49"/>
      <c r="W103" s="49"/>
      <c r="X103" s="41" t="s">
        <v>149</v>
      </c>
      <c r="Y103" s="51">
        <f>Y102/Y104</f>
        <v>0.8926060779261703</v>
      </c>
    </row>
    <row r="104" spans="1:25" ht="20" customHeight="1" thickBot="1" x14ac:dyDescent="0.3">
      <c r="A104" s="7" t="s">
        <v>89</v>
      </c>
      <c r="B104" s="11">
        <v>24049000</v>
      </c>
      <c r="C104" s="11">
        <v>33185000</v>
      </c>
      <c r="D104" s="11">
        <v>71527000</v>
      </c>
      <c r="E104" s="11">
        <v>54974000</v>
      </c>
      <c r="F104" s="11">
        <v>191603000</v>
      </c>
      <c r="G104" s="11">
        <v>89819000</v>
      </c>
      <c r="H104" s="11">
        <v>165801000</v>
      </c>
      <c r="I104" s="11">
        <v>39359000</v>
      </c>
      <c r="J104" s="11">
        <v>138348000</v>
      </c>
      <c r="K104" s="11">
        <v>135100000</v>
      </c>
      <c r="L104" s="11">
        <v>142300000</v>
      </c>
      <c r="M104" s="11">
        <v>139500000</v>
      </c>
      <c r="N104" s="11">
        <v>184600000</v>
      </c>
      <c r="O104" s="11">
        <v>218800000</v>
      </c>
      <c r="P104" s="11">
        <v>280300000</v>
      </c>
      <c r="Q104" s="11">
        <v>292700000</v>
      </c>
      <c r="R104" s="78" t="s">
        <v>118</v>
      </c>
      <c r="S104" s="78"/>
      <c r="T104" s="78"/>
      <c r="U104" s="78"/>
      <c r="V104" s="78"/>
      <c r="W104" s="49"/>
      <c r="X104" s="41" t="s">
        <v>151</v>
      </c>
      <c r="Y104" s="54">
        <f>Y100+Y102</f>
        <v>36831693299</v>
      </c>
    </row>
    <row r="105" spans="1:25" ht="21" customHeight="1" thickTop="1" x14ac:dyDescent="0.25">
      <c r="A105" s="14" t="s">
        <v>109</v>
      </c>
      <c r="B105" s="1">
        <f t="shared" ref="B105:Q105" si="10">(B22*(1-$Y$92))+B77+B88+B81</f>
        <v>267957247.38593155</v>
      </c>
      <c r="C105" s="1">
        <f t="shared" si="10"/>
        <v>282534665.87452471</v>
      </c>
      <c r="D105" s="1">
        <f t="shared" si="10"/>
        <v>320074099.09695816</v>
      </c>
      <c r="E105" s="1">
        <f t="shared" si="10"/>
        <v>421961595.21546257</v>
      </c>
      <c r="F105" s="1">
        <f t="shared" si="10"/>
        <v>453060460.78897333</v>
      </c>
      <c r="G105" s="1">
        <f t="shared" si="10"/>
        <v>508072645.4372623</v>
      </c>
      <c r="H105" s="1">
        <f t="shared" si="10"/>
        <v>543061958.72940421</v>
      </c>
      <c r="I105" s="1">
        <f t="shared" si="10"/>
        <v>510422313.52978444</v>
      </c>
      <c r="J105" s="1">
        <f t="shared" si="10"/>
        <v>643589396.22940421</v>
      </c>
      <c r="K105" s="1">
        <f t="shared" si="10"/>
        <v>663146989.86058295</v>
      </c>
      <c r="L105" s="1">
        <f t="shared" si="10"/>
        <v>694583491.76172364</v>
      </c>
      <c r="M105" s="1">
        <f t="shared" si="10"/>
        <v>735442149.87325728</v>
      </c>
      <c r="N105" s="1">
        <f t="shared" si="10"/>
        <v>827384767.11026609</v>
      </c>
      <c r="O105" s="1">
        <f t="shared" si="10"/>
        <v>921742339.98732567</v>
      </c>
      <c r="P105" s="1">
        <f t="shared" si="10"/>
        <v>788103873.57414436</v>
      </c>
      <c r="Q105" s="1">
        <f t="shared" si="10"/>
        <v>1147253271.5462611</v>
      </c>
      <c r="R105" s="45">
        <f>R107/R3</f>
        <v>0.36403607666290866</v>
      </c>
      <c r="S105" s="45">
        <f t="shared" ref="S105:V105" si="11">S107/S3</f>
        <v>0.38111888111888109</v>
      </c>
      <c r="T105" s="45">
        <f t="shared" si="11"/>
        <v>0.38371335504885995</v>
      </c>
      <c r="U105" s="45">
        <f t="shared" si="11"/>
        <v>0.38111350353737311</v>
      </c>
      <c r="V105" s="45">
        <f t="shared" si="11"/>
        <v>0.37919762258543832</v>
      </c>
      <c r="W105" s="47" t="s">
        <v>150</v>
      </c>
      <c r="X105" s="77" t="s">
        <v>152</v>
      </c>
      <c r="Y105" s="77"/>
    </row>
    <row r="106" spans="1:25" ht="19" customHeight="1" x14ac:dyDescent="0.25">
      <c r="A106" s="14" t="s">
        <v>106</v>
      </c>
      <c r="B106" s="1"/>
      <c r="C106" s="15">
        <f t="shared" ref="C106:Q106" si="12">(C107/B107)-1</f>
        <v>7.7650988032285095E-3</v>
      </c>
      <c r="D106" s="15">
        <f t="shared" si="12"/>
        <v>0.32428862069282949</v>
      </c>
      <c r="E106" s="15">
        <f t="shared" si="12"/>
        <v>3.3659243605473677E-2</v>
      </c>
      <c r="F106" s="15">
        <f t="shared" si="12"/>
        <v>6.2211028578537997E-2</v>
      </c>
      <c r="G106" s="15">
        <f t="shared" si="12"/>
        <v>0.2468058703607563</v>
      </c>
      <c r="H106" s="15">
        <f t="shared" si="12"/>
        <v>-8.356353591160226E-2</v>
      </c>
      <c r="I106" s="15">
        <f t="shared" si="12"/>
        <v>-5.0728090784165958E-2</v>
      </c>
      <c r="J106" s="15">
        <f t="shared" si="12"/>
        <v>0.33538703105938117</v>
      </c>
      <c r="K106" s="15">
        <f t="shared" si="12"/>
        <v>-0.1485064987575101</v>
      </c>
      <c r="L106" s="15">
        <f t="shared" si="12"/>
        <v>0.43737166324435317</v>
      </c>
      <c r="M106" s="15">
        <f t="shared" si="12"/>
        <v>0.25607142857142851</v>
      </c>
      <c r="N106" s="15">
        <f t="shared" si="12"/>
        <v>5.1322149559283492E-2</v>
      </c>
      <c r="O106" s="15">
        <f t="shared" si="12"/>
        <v>0.11075050709939149</v>
      </c>
      <c r="P106" s="15">
        <f t="shared" si="12"/>
        <v>8.0228877526174802E-2</v>
      </c>
      <c r="Q106" s="15">
        <f t="shared" si="12"/>
        <v>-0.11608249746421728</v>
      </c>
      <c r="R106" s="55">
        <f>(R107/Q107)-1</f>
        <v>0.2351141144970037</v>
      </c>
      <c r="S106" s="55">
        <f>(S107/R107)-1</f>
        <v>0.12521936616083407</v>
      </c>
      <c r="T106" s="55">
        <f>(T107/S107)-1</f>
        <v>8.0733944954128445E-2</v>
      </c>
      <c r="U106" s="55">
        <f>(U107/T107)-1</f>
        <v>5.1782682512733436E-2</v>
      </c>
      <c r="V106" s="55">
        <f>(V107/U107)-1</f>
        <v>2.9862792574657071E-2</v>
      </c>
      <c r="W106" s="70">
        <f>SUM(R106:V106)/5</f>
        <v>0.10454258013987135</v>
      </c>
      <c r="X106" s="26" t="s">
        <v>110</v>
      </c>
      <c r="Y106" s="56">
        <f>(Y101*Y93)+(Y103*Y98)</f>
        <v>7.3557622797077046E-2</v>
      </c>
    </row>
    <row r="107" spans="1:25" ht="19" x14ac:dyDescent="0.25">
      <c r="A107" s="43" t="s">
        <v>165</v>
      </c>
      <c r="B107" s="1">
        <v>215580000</v>
      </c>
      <c r="C107" s="1">
        <v>217254000</v>
      </c>
      <c r="D107" s="1">
        <v>287707000</v>
      </c>
      <c r="E107" s="1">
        <v>297391000</v>
      </c>
      <c r="F107" s="1">
        <v>315892000</v>
      </c>
      <c r="G107" s="1">
        <v>393856000</v>
      </c>
      <c r="H107" s="1">
        <v>360944000</v>
      </c>
      <c r="I107" s="1">
        <v>342634000</v>
      </c>
      <c r="J107" s="1">
        <v>457549000</v>
      </c>
      <c r="K107" s="1">
        <v>389600000</v>
      </c>
      <c r="L107" s="1">
        <v>560000000</v>
      </c>
      <c r="M107" s="1">
        <v>703400000</v>
      </c>
      <c r="N107" s="1">
        <v>739500000</v>
      </c>
      <c r="O107" s="1">
        <v>821400000</v>
      </c>
      <c r="P107" s="1">
        <v>887300000</v>
      </c>
      <c r="Q107" s="1">
        <v>784300000</v>
      </c>
      <c r="R107" s="57">
        <v>968700000</v>
      </c>
      <c r="S107" s="57">
        <v>1090000000</v>
      </c>
      <c r="T107" s="57">
        <v>1178000000</v>
      </c>
      <c r="U107" s="57">
        <v>1239000000</v>
      </c>
      <c r="V107" s="57">
        <v>1276000000</v>
      </c>
      <c r="W107" s="46" t="s">
        <v>107</v>
      </c>
      <c r="X107" s="58" t="s">
        <v>108</v>
      </c>
      <c r="Y107" s="25">
        <f>(SUM(R4:V4)/5)</f>
        <v>6.15826184091397E-2</v>
      </c>
    </row>
    <row r="108" spans="1:25" ht="19" x14ac:dyDescent="0.25">
      <c r="A108" s="5"/>
      <c r="B108" s="13"/>
      <c r="C108" s="13"/>
      <c r="D108" s="13"/>
      <c r="E108" s="13"/>
      <c r="F108" s="13"/>
      <c r="G108" s="13"/>
      <c r="H108" s="13"/>
      <c r="I108" s="13"/>
      <c r="J108" s="13"/>
      <c r="K108" s="13"/>
      <c r="L108" s="13"/>
      <c r="M108" s="13"/>
      <c r="N108" s="13"/>
      <c r="O108" s="13"/>
      <c r="P108" s="13"/>
      <c r="Q108" s="13"/>
      <c r="R108" s="71"/>
      <c r="S108" s="71"/>
      <c r="T108" s="71"/>
      <c r="U108" s="71"/>
      <c r="V108" s="59">
        <f>V107*(1+Y108)/(Y109-Y108)</f>
        <v>26935008854.649487</v>
      </c>
      <c r="W108" s="60" t="s">
        <v>153</v>
      </c>
      <c r="X108" s="61" t="s">
        <v>154</v>
      </c>
      <c r="Y108" s="42">
        <v>2.5000000000000001E-2</v>
      </c>
    </row>
    <row r="109" spans="1:25" ht="19" x14ac:dyDescent="0.2">
      <c r="R109" s="59">
        <f t="shared" ref="R109:U109" si="13">R108+R107</f>
        <v>968700000</v>
      </c>
      <c r="S109" s="59">
        <f t="shared" si="13"/>
        <v>1090000000</v>
      </c>
      <c r="T109" s="59">
        <f t="shared" si="13"/>
        <v>1178000000</v>
      </c>
      <c r="U109" s="59">
        <f t="shared" si="13"/>
        <v>1239000000</v>
      </c>
      <c r="V109" s="59">
        <f>V108+V107</f>
        <v>28211008854.649487</v>
      </c>
      <c r="W109" s="60" t="s">
        <v>151</v>
      </c>
      <c r="X109" s="62" t="s">
        <v>155</v>
      </c>
      <c r="Y109" s="25">
        <f>Y106</f>
        <v>7.3557622797077046E-2</v>
      </c>
    </row>
    <row r="110" spans="1:25" ht="19" x14ac:dyDescent="0.2">
      <c r="R110" s="76" t="s">
        <v>156</v>
      </c>
      <c r="S110" s="76"/>
      <c r="T110" s="49"/>
      <c r="U110" s="49"/>
      <c r="V110" s="49"/>
      <c r="W110" s="49"/>
      <c r="X110" s="49"/>
      <c r="Y110" s="49"/>
    </row>
    <row r="111" spans="1:25" ht="20" x14ac:dyDescent="0.2">
      <c r="R111" s="63" t="s">
        <v>157</v>
      </c>
      <c r="S111" s="53">
        <f>NPV(Y109,R109,S109,T109,U109,V109)</f>
        <v>23515891148.452084</v>
      </c>
      <c r="T111" s="49"/>
      <c r="U111" s="49"/>
      <c r="V111" s="49"/>
      <c r="W111" s="49"/>
      <c r="X111" s="49"/>
      <c r="Y111" s="49"/>
    </row>
    <row r="112" spans="1:25" ht="20" x14ac:dyDescent="0.2">
      <c r="R112" s="63" t="s">
        <v>158</v>
      </c>
      <c r="S112" s="53">
        <f>Q40</f>
        <v>112500000</v>
      </c>
      <c r="T112" s="49"/>
      <c r="U112" s="49"/>
      <c r="V112" s="49"/>
      <c r="W112" s="49"/>
      <c r="X112" s="49"/>
      <c r="Y112" s="49"/>
    </row>
    <row r="113" spans="18:25" ht="20" x14ac:dyDescent="0.2">
      <c r="R113" s="63" t="s">
        <v>146</v>
      </c>
      <c r="S113" s="53">
        <f>Y100</f>
        <v>3955500000</v>
      </c>
      <c r="T113" s="49"/>
      <c r="U113" s="49"/>
      <c r="V113" s="49"/>
      <c r="W113" s="49"/>
      <c r="X113" s="49"/>
      <c r="Y113" s="49"/>
    </row>
    <row r="114" spans="18:25" ht="20" x14ac:dyDescent="0.2">
      <c r="R114" s="63" t="s">
        <v>159</v>
      </c>
      <c r="S114" s="53">
        <f>S111+S112-S113</f>
        <v>19672891148.452084</v>
      </c>
      <c r="T114" s="49"/>
      <c r="U114" s="49"/>
      <c r="V114" s="49"/>
      <c r="W114" s="49"/>
      <c r="X114" s="49"/>
      <c r="Y114" s="49"/>
    </row>
    <row r="115" spans="18:25" ht="20" x14ac:dyDescent="0.2">
      <c r="R115" s="63" t="s">
        <v>160</v>
      </c>
      <c r="S115" s="63">
        <f>Q34*(1+(5*W16))</f>
        <v>149540847.72856292</v>
      </c>
      <c r="T115" s="49"/>
      <c r="U115" s="49"/>
      <c r="V115" s="49"/>
      <c r="W115" s="49"/>
      <c r="X115" s="49"/>
      <c r="Y115" s="49"/>
    </row>
    <row r="116" spans="18:25" ht="20" x14ac:dyDescent="0.2">
      <c r="R116" s="64" t="s">
        <v>161</v>
      </c>
      <c r="S116" s="65">
        <f>S114/S115</f>
        <v>131.55530042307282</v>
      </c>
      <c r="T116" s="49"/>
      <c r="U116" s="49"/>
      <c r="V116" s="49"/>
      <c r="W116" s="49"/>
      <c r="X116" s="49"/>
      <c r="Y116" s="49"/>
    </row>
    <row r="117" spans="18:25" ht="20" x14ac:dyDescent="0.2">
      <c r="R117" s="63" t="s">
        <v>162</v>
      </c>
      <c r="S117" s="66" cm="1">
        <f t="array" ref="S117">_FV(A1,"Price")</f>
        <v>226.69</v>
      </c>
      <c r="T117" s="49"/>
      <c r="U117" s="49"/>
      <c r="V117" s="49"/>
      <c r="W117" s="49"/>
      <c r="X117" s="49"/>
      <c r="Y117" s="49"/>
    </row>
    <row r="118" spans="18:25" ht="20" x14ac:dyDescent="0.2">
      <c r="R118" s="64" t="s">
        <v>163</v>
      </c>
      <c r="S118" s="67">
        <f>S116/S117-1</f>
        <v>-0.41966870870760586</v>
      </c>
      <c r="T118" s="49"/>
      <c r="U118" s="49"/>
      <c r="V118" s="49"/>
      <c r="W118" s="49"/>
      <c r="X118" s="49"/>
      <c r="Y118" s="49"/>
    </row>
    <row r="119" spans="18:25" ht="20" x14ac:dyDescent="0.2">
      <c r="R119" s="64" t="s">
        <v>164</v>
      </c>
      <c r="S119" s="68" t="str">
        <f>IF(S116&gt;S117,"BUY","SELL")</f>
        <v>SELL</v>
      </c>
      <c r="T119" s="49"/>
      <c r="U119" s="49"/>
      <c r="V119" s="49"/>
      <c r="W119" s="49"/>
      <c r="X119" s="49"/>
      <c r="Y119" s="49"/>
    </row>
  </sheetData>
  <mergeCells count="7">
    <mergeCell ref="X84:Y84"/>
    <mergeCell ref="R110:S110"/>
    <mergeCell ref="X105:Y105"/>
    <mergeCell ref="X99:Y99"/>
    <mergeCell ref="X94:Y94"/>
    <mergeCell ref="X85:Y85"/>
    <mergeCell ref="R104:V104"/>
  </mergeCells>
  <hyperlinks>
    <hyperlink ref="A1" r:id="rId1" tooltip="https://roic.ai/company/VRSK" display="ROIC.AI | VRS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2145/000095012310022607/0000950123-10-022607-index.html" xr:uid="{00000000-0004-0000-0000-000007000000}"/>
    <hyperlink ref="D74" r:id="rId7" tooltip="https://www.sec.gov/Archives/edgar/data/1442145/000095012310022607/0000950123-10-022607-index.html" xr:uid="{00000000-0004-0000-0000-000008000000}"/>
    <hyperlink ref="E36" r:id="rId8" tooltip="https://www.sec.gov/Archives/edgar/data/1442145/000095012311019814/y89886e10vk.htm" xr:uid="{00000000-0004-0000-0000-00000A000000}"/>
    <hyperlink ref="E74" r:id="rId9" tooltip="https://www.sec.gov/Archives/edgar/data/1442145/000095012311019814/y89886e10vk.htm" xr:uid="{00000000-0004-0000-0000-00000B000000}"/>
    <hyperlink ref="F36" r:id="rId10" tooltip="https://www.sec.gov/Archives/edgar/data/1442145/000119312512085286/0001193125-12-085286-index.html" xr:uid="{00000000-0004-0000-0000-00000D000000}"/>
    <hyperlink ref="F74" r:id="rId11" tooltip="https://www.sec.gov/Archives/edgar/data/1442145/000119312512085286/0001193125-12-085286-index.html" xr:uid="{00000000-0004-0000-0000-00000E000000}"/>
    <hyperlink ref="G36" r:id="rId12" tooltip="https://www.sec.gov/Archives/edgar/data/1442145/000119312513076934/0001193125-13-076934-index.html" xr:uid="{00000000-0004-0000-0000-000010000000}"/>
    <hyperlink ref="G74" r:id="rId13" tooltip="https://www.sec.gov/Archives/edgar/data/1442145/000119312513076934/0001193125-13-076934-index.html" xr:uid="{00000000-0004-0000-0000-000011000000}"/>
    <hyperlink ref="H36" r:id="rId14" tooltip="https://www.sec.gov/Archives/edgar/data/1442145/000144214514000008/vrsk10k12312013.htm" xr:uid="{00000000-0004-0000-0000-000013000000}"/>
    <hyperlink ref="H74" r:id="rId15" tooltip="https://www.sec.gov/Archives/edgar/data/1442145/000144214514000008/vrsk10k12312013.htm" xr:uid="{00000000-0004-0000-0000-000014000000}"/>
    <hyperlink ref="I36" r:id="rId16" tooltip="https://www.sec.gov/Archives/edgar/data/1442145/000144214515000011/vrsk10k12312014.htm" xr:uid="{00000000-0004-0000-0000-000016000000}"/>
    <hyperlink ref="I74" r:id="rId17" tooltip="https://www.sec.gov/Archives/edgar/data/1442145/000144214515000011/vrsk10k12312014.htm" xr:uid="{00000000-0004-0000-0000-000017000000}"/>
    <hyperlink ref="J36" r:id="rId18" tooltip="https://www.sec.gov/Archives/edgar/data/1442145/000144214516000057/0001442145-16-000057-index.html" xr:uid="{00000000-0004-0000-0000-000019000000}"/>
    <hyperlink ref="J74" r:id="rId19" tooltip="https://www.sec.gov/Archives/edgar/data/1442145/000144214516000057/0001442145-16-000057-index.html" xr:uid="{00000000-0004-0000-0000-00001A000000}"/>
    <hyperlink ref="K36" r:id="rId20" tooltip="https://www.sec.gov/Archives/edgar/data/1442145/000144214517000010/0001442145-17-000010-index.html" xr:uid="{00000000-0004-0000-0000-00001C000000}"/>
    <hyperlink ref="K74" r:id="rId21" tooltip="https://www.sec.gov/Archives/edgar/data/1442145/000144214517000010/0001442145-17-000010-index.html" xr:uid="{00000000-0004-0000-0000-00001D000000}"/>
    <hyperlink ref="L36" r:id="rId22" tooltip="https://www.sec.gov/Archives/edgar/data/1442145/000144214518000008/0001442145-18-000008-index.html" xr:uid="{00000000-0004-0000-0000-00001F000000}"/>
    <hyperlink ref="L74" r:id="rId23" tooltip="https://www.sec.gov/Archives/edgar/data/1442145/000144214518000008/0001442145-18-000008-index.html" xr:uid="{00000000-0004-0000-0000-000020000000}"/>
    <hyperlink ref="M36" r:id="rId24" tooltip="https://www.sec.gov/Archives/edgar/data/1442145/000144214519000012/0001442145-19-000012-index.html" xr:uid="{00000000-0004-0000-0000-000022000000}"/>
    <hyperlink ref="M74" r:id="rId25" tooltip="https://www.sec.gov/Archives/edgar/data/1442145/000144214519000012/0001442145-19-000012-index.html" xr:uid="{00000000-0004-0000-0000-000023000000}"/>
    <hyperlink ref="N36" r:id="rId26" tooltip="https://www.sec.gov/Archives/edgar/data/1442145/000144214520000012/0001442145-20-000012-index.html" xr:uid="{00000000-0004-0000-0000-000025000000}"/>
    <hyperlink ref="N74" r:id="rId27" tooltip="https://www.sec.gov/Archives/edgar/data/1442145/000144214520000012/0001442145-20-000012-index.html" xr:uid="{00000000-0004-0000-0000-000026000000}"/>
    <hyperlink ref="O36" r:id="rId28" tooltip="https://www.sec.gov/Archives/edgar/data/1442145/000143774921003789/0001437749-21-003789-index.htm" xr:uid="{00000000-0004-0000-0000-000028000000}"/>
    <hyperlink ref="O74" r:id="rId29" tooltip="https://www.sec.gov/Archives/edgar/data/1442145/000143774921003789/0001437749-21-003789-index.htm" xr:uid="{00000000-0004-0000-0000-000029000000}"/>
    <hyperlink ref="P36" r:id="rId30" tooltip="https://www.sec.gov/Archives/edgar/data/1442145/000143774922004083/0001437749-22-004083-index.htm" xr:uid="{00000000-0004-0000-0000-00002B000000}"/>
    <hyperlink ref="P74" r:id="rId31" tooltip="https://www.sec.gov/Archives/edgar/data/1442145/000143774922004083/0001437749-22-004083-index.htm" xr:uid="{00000000-0004-0000-0000-00002C000000}"/>
    <hyperlink ref="Q36" r:id="rId32" tooltip="https://www.sec.gov/Archives/edgar/data/1442145/000143774923004945/0001437749-23-004945-index.htm" xr:uid="{00000000-0004-0000-0000-00002E000000}"/>
    <hyperlink ref="Q74" r:id="rId33" tooltip="https://www.sec.gov/Archives/edgar/data/1442145/000143774923004945/0001437749-23-004945-index.htm" xr:uid="{00000000-0004-0000-0000-00002F000000}"/>
    <hyperlink ref="R1" r:id="rId34" display="https://finbox.com/NASDAQGS:VRSK/explorer/revenue_proj" xr:uid="{2EF5C221-2AAF-214B-A7A4-BB2C92BA9BF1}"/>
    <hyperlink ref="W107" r:id="rId35" xr:uid="{A44C3AE7-C8D5-0946-9BEF-716DE28DA92D}"/>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2023-05-04T08:15:23Z</dcterms:created>
  <dcterms:modified xsi:type="dcterms:W3CDTF">2023-10-27T09:46:06Z</dcterms:modified>
</cp:coreProperties>
</file>