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DBB8515-A136-EE40-B1FF-A6A075EAACC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5" i="1" l="1"/>
  <c r="I105" i="1"/>
  <c r="H105" i="1"/>
  <c r="G105" i="1"/>
  <c r="F105" i="1"/>
  <c r="N7" i="1"/>
  <c r="M7" i="1"/>
  <c r="L7" i="1"/>
  <c r="F34" i="1" a="1"/>
  <c r="F34" i="1" s="1"/>
  <c r="F35" i="1" s="1"/>
  <c r="K16" i="1" s="1"/>
  <c r="F33" i="1" a="1"/>
  <c r="F33" i="1" s="1"/>
  <c r="L22" i="1"/>
  <c r="J106" i="1"/>
  <c r="I106" i="1"/>
  <c r="H106" i="1"/>
  <c r="G106" i="1"/>
  <c r="F109" i="1"/>
  <c r="G109" i="1"/>
  <c r="H109" i="1"/>
  <c r="I109" i="1"/>
  <c r="G117" i="1" a="1"/>
  <c r="G117" i="1" s="1"/>
  <c r="M102" i="1" a="1"/>
  <c r="M102" i="1" s="1"/>
  <c r="N22" i="1" s="1"/>
  <c r="M96" i="1" a="1"/>
  <c r="M96" i="1" s="1"/>
  <c r="G112" i="1"/>
  <c r="M100" i="1"/>
  <c r="G113" i="1" s="1"/>
  <c r="M91" i="1"/>
  <c r="M90" i="1"/>
  <c r="M92" i="1" s="1"/>
  <c r="D105" i="1" s="1"/>
  <c r="M89" i="1"/>
  <c r="M88" i="1"/>
  <c r="M87" i="1"/>
  <c r="M86" i="1"/>
  <c r="J30" i="1"/>
  <c r="I30" i="1"/>
  <c r="H30" i="1"/>
  <c r="G30" i="1"/>
  <c r="F30" i="1"/>
  <c r="J29" i="1"/>
  <c r="I29" i="1"/>
  <c r="H29" i="1"/>
  <c r="G29" i="1"/>
  <c r="F29" i="1"/>
  <c r="J21" i="1"/>
  <c r="I21" i="1"/>
  <c r="H21" i="1"/>
  <c r="G21" i="1"/>
  <c r="F21" i="1"/>
  <c r="J20" i="1"/>
  <c r="I20" i="1"/>
  <c r="H20" i="1"/>
  <c r="G20" i="1"/>
  <c r="F20" i="1"/>
  <c r="K19" i="1"/>
  <c r="N13" i="1"/>
  <c r="M13" i="1"/>
  <c r="L13" i="1"/>
  <c r="K13" i="1"/>
  <c r="N10" i="1"/>
  <c r="M10" i="1"/>
  <c r="L10" i="1"/>
  <c r="K10" i="1"/>
  <c r="K7" i="1"/>
  <c r="N4" i="1"/>
  <c r="M4" i="1"/>
  <c r="L4" i="1"/>
  <c r="K4" i="1"/>
  <c r="J4" i="1"/>
  <c r="I4" i="1"/>
  <c r="H4" i="1"/>
  <c r="G4" i="1"/>
  <c r="F4" i="1"/>
  <c r="B9" i="1"/>
  <c r="C9" i="1"/>
  <c r="D9" i="1"/>
  <c r="E9" i="1"/>
  <c r="B13" i="1"/>
  <c r="C13" i="1"/>
  <c r="D13" i="1"/>
  <c r="E13" i="1"/>
  <c r="B20" i="1"/>
  <c r="C20" i="1"/>
  <c r="D20" i="1"/>
  <c r="E20" i="1"/>
  <c r="B29" i="1"/>
  <c r="C29" i="1"/>
  <c r="D29" i="1"/>
  <c r="E29" i="1"/>
  <c r="B35" i="1"/>
  <c r="C35" i="1"/>
  <c r="D35" i="1"/>
  <c r="E35" i="1"/>
  <c r="B80" i="1"/>
  <c r="C80" i="1"/>
  <c r="D80" i="1"/>
  <c r="E80" i="1"/>
  <c r="B89" i="1"/>
  <c r="C89" i="1"/>
  <c r="D89" i="1"/>
  <c r="E89" i="1"/>
  <c r="B106" i="1"/>
  <c r="C106" i="1"/>
  <c r="D106" i="1"/>
  <c r="E106" i="1"/>
  <c r="B4" i="1"/>
  <c r="C4" i="1"/>
  <c r="D4" i="1"/>
  <c r="E4" i="1"/>
  <c r="N19" i="1" l="1"/>
  <c r="G115" i="1"/>
  <c r="C105" i="1"/>
  <c r="B105" i="1"/>
  <c r="E105" i="1"/>
  <c r="F106" i="1" s="1"/>
  <c r="K106" i="1" s="1"/>
  <c r="M93" i="1"/>
  <c r="M22" i="1"/>
  <c r="M107" i="1"/>
  <c r="M19" i="1"/>
  <c r="L19" i="1"/>
  <c r="M16" i="1"/>
  <c r="N16" i="1"/>
  <c r="L16" i="1"/>
  <c r="M104" i="1"/>
  <c r="M103" i="1" s="1"/>
  <c r="M101" i="1" l="1"/>
  <c r="M95" i="1" l="1"/>
  <c r="M98" i="1" s="1"/>
  <c r="M106" i="1" s="1"/>
  <c r="M109" i="1" s="1"/>
  <c r="J108" i="1" s="1"/>
  <c r="J109" i="1" s="1"/>
  <c r="G111" i="1" s="1"/>
  <c r="G114" i="1" s="1"/>
  <c r="G116" i="1" s="1"/>
  <c r="G119"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<sst xmlns="http://schemas.openxmlformats.org/spreadsheetml/2006/main" count="256" uniqueCount="168">
  <si>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</si>
  <si>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</si>
  <si>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</si>
  <si>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</si>
  <si>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</si>
  <si>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</si>
  <si>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</si>
  <si>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</si>
  <si>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</si>
  <si>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</si>
  <si>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</si>
  <si>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</si>
  <si>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</si>
  <si>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</si>
  <si>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</si>
  <si>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</si>
  <si>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</si>
  <si>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</si>
  <si>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</si>
  <si>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</si>
  <si>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</si>
  <si>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</si>
  <si>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</si>
  <si>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</si>
  <si>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</si>
  <si>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</si>
  <si>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</si>
  <si>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</si>
  <si>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</si>
  <si>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</si>
  <si>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</si>
  <si>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</si>
  <si>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</si>
  <si>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</si>
  <si>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</si>
  <si>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</si>
  <si>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</si>
  <si>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</si>
  <si>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</si>
  <si>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</si>
  <si>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</si>
  <si>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</si>
  <si>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</si>
  <si>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</si>
  <si>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</si>
  <si>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</si>
  <si>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</si>
  <si>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</si>
  <si>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</si>
  <si>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</si>
  <si>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</si>
  <si>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</si>
  <si>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</si>
  <si>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</si>
  <si>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</si>
  <si>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</si>
  <si>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</si>
  <si>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</si>
  <si>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</si>
  <si>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</si>
  <si>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</si>
  <si>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</si>
  <si>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</si>
  <si>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</si>
  <si>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</si>
  <si>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</si>
  <si>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</si>
  <si>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</si>
  <si>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</si>
  <si>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</si>
  <si>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</si>
  <si>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</si>
  <si>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</si>
  <si>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</si>
  <si>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</si>
  <si>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</si>
  <si>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</si>
  <si>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</si>
  <si>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</si>
  <si>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</si>
  <si>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</si>
  <si>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</si>
  <si>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</si>
  <si>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</si>
  <si>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</si>
  <si>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</si>
  <si>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</si>
  <si>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</si>
  <si>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</si>
  <si>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</si>
  <si>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</si>
  <si>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</si>
  <si>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</si>
  <si>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Levered FCF</t>
  </si>
  <si>
    <t>Revenue Growth YoY</t>
  </si>
  <si>
    <t>R&amp;D as % of Revenue</t>
  </si>
  <si>
    <t>SG&amp;A as % of Revenue</t>
  </si>
  <si>
    <t>EBITDA Growth YoY</t>
  </si>
  <si>
    <t>Net Income Growth YoY</t>
  </si>
  <si>
    <t>Share Dilution YoY</t>
  </si>
  <si>
    <t>SBC as % of Revenue</t>
  </si>
  <si>
    <t>CAPEX as % of Revenue</t>
  </si>
  <si>
    <t>Unlevered FCF</t>
  </si>
  <si>
    <t>Levered FCF Growth YoY</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</si>
  <si>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</si>
  <si>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</si>
  <si>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</si>
  <si>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</si>
  <si>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</si>
  <si>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</si>
  <si>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</si>
  <si>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</si>
  <si>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</si>
  <si>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</si>
  <si>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</si>
  <si>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</si>
  <si>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</si>
  <si>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</si>
  <si>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</si>
  <si>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</si>
  <si>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</si>
  <si>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</si>
  <si>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</si>
  <si>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</si>
  <si>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</si>
  <si>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</si>
  <si>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</si>
  <si>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</si>
  <si>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</si>
  <si>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</si>
  <si>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</si>
  <si>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</si>
  <si>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</si>
  <si>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</si>
  <si>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</si>
  <si>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</si>
  <si>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</si>
  <si>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</si>
  <si>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</si>
  <si>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</si>
  <si>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</si>
  <si>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</si>
  <si>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</si>
  <si>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</si>
  <si>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</si>
  <si>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</si>
  <si>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</si>
  <si>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</si>
  <si>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</si>
  <si>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Unlevered FCF Forecast</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</si>
  <si>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</si>
  <si>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</si>
  <si>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</si>
  <si>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</si>
  <si>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</si>
  <si>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</si>
  <si>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</si>
  <si>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</si>
  <si>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</si>
  <si>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</si>
  <si>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</si>
  <si>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</si>
  <si>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</si>
  <si>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Share Dilution (3yr)</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</si>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</sst>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quot;$&quot;#,##0.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i/>
      <sz val="14"/>
      <color rgb="FF000000"/>
      <name val="Calibri"/>
      <family val="2"/>
    </font>
    <font>
      <u/>
      <sz val="14"/>
      <color rgb="FF000000"/>
      <name val="Calibri"/>
      <family val="1"/>
    </font>
    <font>
      <b/>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9" fillId="0" borderId="0" xfId="0" applyNumberFormat="1" applyFont="1"/>
    <xf numFmtId="0" fontId="10" fillId="0" borderId="0" xfId="0" applyFont="1" applyAlignment="1">
      <alignment indent="1"/>
    </xf>
    <xf numFmtId="9" fontId="1" fillId="0" borderId="0" xfId="0" applyNumberFormat="1" applyFont="1"/>
    <xf numFmtId="10" fontId="1" fillId="0" borderId="0" xfId="0" applyNumberFormat="1" applyFont="1"/>
    <xf numFmtId="0" fontId="11" fillId="0" borderId="4" xfId="0" applyFont="1" applyBorder="1"/>
    <xf numFmtId="0" fontId="12" fillId="3" borderId="5" xfId="0" applyFont="1" applyFill="1" applyBorder="1" applyAlignment="1">
      <alignment horizontal="center" vertical="center" wrapText="1"/>
    </xf>
    <xf numFmtId="0" fontId="12" fillId="3" borderId="6" xfId="0" applyFont="1" applyFill="1" applyBorder="1" applyAlignment="1">
      <alignment horizontal="center" vertical="center" wrapText="1"/>
    </xf>
    <xf numFmtId="9" fontId="13" fillId="0" borderId="7" xfId="0" applyNumberFormat="1" applyFont="1" applyBorder="1" applyAlignment="1">
      <alignment horizontal="center"/>
    </xf>
    <xf numFmtId="9" fontId="13" fillId="0" borderId="8" xfId="0" applyNumberFormat="1" applyFont="1" applyBorder="1" applyAlignment="1">
      <alignment horizontal="center"/>
    </xf>
    <xf numFmtId="2" fontId="13" fillId="0" borderId="8" xfId="0" applyNumberFormat="1" applyFont="1" applyBorder="1" applyAlignment="1">
      <alignment horizontal="center"/>
    </xf>
    <xf numFmtId="9" fontId="13" fillId="0" borderId="9" xfId="0" applyNumberFormat="1" applyFont="1" applyBorder="1" applyAlignment="1">
      <alignment horizontal="center"/>
    </xf>
    <xf numFmtId="167" fontId="13" fillId="0" borderId="9" xfId="0" applyNumberFormat="1" applyFont="1" applyBorder="1" applyAlignment="1">
      <alignment horizontal="center"/>
    </xf>
    <xf numFmtId="167" fontId="13" fillId="0" borderId="7" xfId="0" applyNumberFormat="1" applyFont="1" applyBorder="1" applyAlignment="1">
      <alignment horizontal="center"/>
    </xf>
    <xf numFmtId="164" fontId="11" fillId="0" borderId="2" xfId="0" applyNumberFormat="1" applyFont="1" applyBorder="1"/>
    <xf numFmtId="164" fontId="1" fillId="0" borderId="5" xfId="0" applyNumberFormat="1" applyFont="1" applyBorder="1" applyAlignment="1">
      <alignment horizontal="center"/>
    </xf>
    <xf numFmtId="165" fontId="9" fillId="0" borderId="10" xfId="0" applyNumberFormat="1" applyFont="1" applyBorder="1"/>
    <xf numFmtId="164" fontId="11" fillId="0" borderId="3" xfId="0" applyNumberFormat="1" applyFont="1" applyBorder="1"/>
    <xf numFmtId="165" fontId="9" fillId="0" borderId="0" xfId="0" applyNumberFormat="1" applyFont="1"/>
    <xf numFmtId="166" fontId="9" fillId="0" borderId="0" xfId="0" applyNumberFormat="1" applyFont="1"/>
    <xf numFmtId="0" fontId="13" fillId="6" borderId="0" xfId="0" applyFont="1" applyFill="1" applyAlignment="1">
      <alignment horizontal="left" vertical="center" wrapText="1"/>
    </xf>
    <xf numFmtId="0" fontId="12" fillId="6" borderId="0" xfId="0" applyFont="1" applyFill="1" applyAlignment="1">
      <alignment horizontal="left" vertical="center" wrapText="1"/>
    </xf>
    <xf numFmtId="0" fontId="13" fillId="7" borderId="0" xfId="0" applyFont="1" applyFill="1" applyAlignment="1">
      <alignment horizontal="left" vertical="center" wrapText="1"/>
    </xf>
    <xf numFmtId="0" fontId="12" fillId="4"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169" fontId="13" fillId="0" borderId="7" xfId="0" applyNumberFormat="1" applyFont="1" applyBorder="1" applyAlignment="1">
      <alignment horizontal="center"/>
    </xf>
    <xf numFmtId="169" fontId="13" fillId="0" borderId="8" xfId="0" applyNumberFormat="1" applyFont="1" applyBorder="1" applyAlignment="1">
      <alignment horizontal="center"/>
    </xf>
    <xf numFmtId="9" fontId="13" fillId="0" borderId="0" xfId="0" applyNumberFormat="1" applyFont="1"/>
    <xf numFmtId="164" fontId="9" fillId="0" borderId="0" xfId="0" applyNumberFormat="1" applyFont="1"/>
    <xf numFmtId="0" fontId="17" fillId="3" borderId="5" xfId="0" applyFont="1" applyFill="1" applyBorder="1" applyAlignment="1">
      <alignment horizontal="center" vertical="center" wrapText="1"/>
    </xf>
    <xf numFmtId="0" fontId="0" fillId="7" borderId="0" xfId="0" applyFill="1" applyAlignment="1">
      <alignment vertical="center"/>
    </xf>
    <xf numFmtId="9" fontId="1" fillId="8" borderId="0" xfId="0" applyNumberFormat="1" applyFont="1" applyFill="1" applyAlignment="1">
      <alignment vertical="center"/>
    </xf>
    <xf numFmtId="9" fontId="1" fillId="8" borderId="0" xfId="0" applyNumberFormat="1" applyFont="1" applyFill="1" applyAlignment="1">
      <alignment horizontal="center" vertical="center"/>
    </xf>
    <xf numFmtId="164" fontId="9" fillId="8" borderId="0" xfId="0" applyNumberFormat="1" applyFont="1" applyFill="1" applyAlignment="1">
      <alignment vertical="center"/>
    </xf>
    <xf numFmtId="164" fontId="1" fillId="8" borderId="0" xfId="0" applyNumberFormat="1" applyFont="1" applyFill="1" applyAlignment="1">
      <alignment vertical="center"/>
    </xf>
    <xf numFmtId="0" fontId="0" fillId="7" borderId="0" xfId="0" applyFill="1" applyAlignment="1">
      <alignment horizontal="left" vertical="center"/>
    </xf>
    <xf numFmtId="0" fontId="11" fillId="3" borderId="6" xfId="0" applyFont="1" applyFill="1" applyBorder="1" applyAlignment="1">
      <alignment horizontal="center" vertical="center" wrapText="1"/>
    </xf>
    <xf numFmtId="165" fontId="9" fillId="7" borderId="0" xfId="0" applyNumberFormat="1" applyFont="1" applyFill="1" applyAlignment="1">
      <alignment vertical="center"/>
    </xf>
    <xf numFmtId="0" fontId="1" fillId="0" borderId="0" xfId="0" applyFont="1" applyAlignment="1">
      <alignment vertical="center"/>
    </xf>
    <xf numFmtId="0" fontId="0" fillId="8" borderId="0" xfId="0" applyFill="1" applyAlignment="1">
      <alignment vertical="center"/>
    </xf>
    <xf numFmtId="0" fontId="0" fillId="0" borderId="0" xfId="0" applyAlignment="1">
      <alignment vertical="center"/>
    </xf>
    <xf numFmtId="164" fontId="13" fillId="6" borderId="0" xfId="0" applyNumberFormat="1" applyFont="1" applyFill="1" applyAlignment="1">
      <alignment vertical="center"/>
    </xf>
    <xf numFmtId="10" fontId="12" fillId="6" borderId="0" xfId="0" applyNumberFormat="1" applyFont="1" applyFill="1" applyAlignment="1">
      <alignment vertical="center"/>
    </xf>
    <xf numFmtId="10" fontId="13" fillId="7" borderId="0" xfId="0" applyNumberFormat="1" applyFont="1" applyFill="1" applyAlignment="1">
      <alignment vertical="center"/>
    </xf>
    <xf numFmtId="39" fontId="13" fillId="7" borderId="0" xfId="0" applyNumberFormat="1" applyFont="1" applyFill="1" applyAlignment="1">
      <alignment vertical="center"/>
    </xf>
    <xf numFmtId="10" fontId="13" fillId="6" borderId="0" xfId="0" applyNumberFormat="1" applyFont="1" applyFill="1" applyAlignment="1">
      <alignment vertical="center"/>
    </xf>
    <xf numFmtId="164" fontId="1" fillId="7" borderId="0" xfId="0" applyNumberFormat="1" applyFont="1" applyFill="1" applyAlignment="1">
      <alignment vertical="center"/>
    </xf>
    <xf numFmtId="164" fontId="12" fillId="6" borderId="0" xfId="0" applyNumberFormat="1" applyFont="1" applyFill="1" applyAlignment="1">
      <alignment vertical="center"/>
    </xf>
    <xf numFmtId="10" fontId="12" fillId="4" borderId="0" xfId="0" applyNumberFormat="1" applyFont="1" applyFill="1" applyAlignment="1">
      <alignment vertical="center"/>
    </xf>
    <xf numFmtId="9" fontId="16" fillId="7" borderId="0" xfId="0" applyNumberFormat="1" applyFont="1" applyFill="1" applyAlignment="1">
      <alignment vertical="center" wrapText="1"/>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4" borderId="0" xfId="0" applyNumberFormat="1" applyFont="1" applyFill="1" applyAlignment="1">
      <alignment vertical="center" wrapText="1"/>
    </xf>
    <xf numFmtId="168" fontId="12" fillId="4" borderId="0" xfId="0" applyNumberFormat="1" applyFont="1" applyFill="1" applyAlignment="1">
      <alignment vertical="center"/>
    </xf>
    <xf numFmtId="168" fontId="1" fillId="7" borderId="0" xfId="0" applyNumberFormat="1" applyFont="1" applyFill="1" applyAlignment="1">
      <alignment vertical="center"/>
    </xf>
    <xf numFmtId="9" fontId="12" fillId="4" borderId="0" xfId="1" applyFont="1" applyFill="1" applyBorder="1" applyAlignment="1">
      <alignment vertical="center"/>
    </xf>
    <xf numFmtId="0" fontId="12" fillId="4" borderId="0" xfId="0" applyFont="1" applyFill="1" applyAlignment="1">
      <alignment horizontal="right" vertical="center"/>
    </xf>
    <xf numFmtId="0" fontId="0" fillId="7" borderId="0" xfId="0" applyFill="1" applyAlignment="1">
      <alignment horizontal="center"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2" fillId="5" borderId="0" xfId="0" applyFont="1" applyFill="1" applyAlignment="1">
      <alignment horizontal="center" vertical="center" wrapText="1"/>
    </xf>
    <xf numFmtId="0" fontId="1" fillId="4" borderId="0" xfId="0" applyFont="1" applyFill="1" applyAlignment="1">
      <alignment horizontal="center" vertical="center"/>
    </xf>
    <xf numFmtId="165" fontId="13"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EFD3F3"/>
      <color rgb="FFA7719C"/>
      <color rgb="FFFFA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dLocal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152317880794686E-2"/>
          <c:y val="0.14444704908619851"/>
          <c:w val="0.83797350993377484"/>
          <c:h val="0.64737213782395298"/>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1'!$B$3:$J$3</c:f>
              <c:numCache>
                <c:formatCode>#,###,,;\(#,###,,\);\ \-\ \-</c:formatCode>
                <c:ptCount val="9"/>
                <c:pt idx="0">
                  <c:v>55289000</c:v>
                </c:pt>
                <c:pt idx="1">
                  <c:v>104143000</c:v>
                </c:pt>
                <c:pt idx="2">
                  <c:v>244120000</c:v>
                </c:pt>
                <c:pt idx="3">
                  <c:v>418925000</c:v>
                </c:pt>
                <c:pt idx="4">
                  <c:v>633000000</c:v>
                </c:pt>
                <c:pt idx="5">
                  <c:v>880000000</c:v>
                </c:pt>
                <c:pt idx="6">
                  <c:v>1143000000</c:v>
                </c:pt>
                <c:pt idx="7">
                  <c:v>1522000000</c:v>
                </c:pt>
                <c:pt idx="8">
                  <c:v>1827000000</c:v>
                </c:pt>
              </c:numCache>
            </c:numRef>
          </c:val>
          <c:extLst>
            <c:ext xmlns:c16="http://schemas.microsoft.com/office/drawing/2014/chart" uri="{C3380CC4-5D6E-409C-BE32-E72D297353CC}">
              <c16:uniqueId val="{00000000-4E57-884A-AD0F-7383239A2D28}"/>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1'!$B$28:$J$28</c:f>
              <c:numCache>
                <c:formatCode>#,###,,;\(#,###,,\);\ \-\ \-</c:formatCode>
                <c:ptCount val="9"/>
                <c:pt idx="0">
                  <c:v>15602000</c:v>
                </c:pt>
                <c:pt idx="1">
                  <c:v>28184000</c:v>
                </c:pt>
                <c:pt idx="2">
                  <c:v>77876000</c:v>
                </c:pt>
                <c:pt idx="3">
                  <c:v>108683000</c:v>
                </c:pt>
                <c:pt idx="4">
                  <c:v>178000000</c:v>
                </c:pt>
                <c:pt idx="5">
                  <c:v>243900000</c:v>
                </c:pt>
                <c:pt idx="6">
                  <c:v>320200000</c:v>
                </c:pt>
                <c:pt idx="7">
                  <c:v>424000000</c:v>
                </c:pt>
                <c:pt idx="8">
                  <c:v>595000000</c:v>
                </c:pt>
              </c:numCache>
            </c:numRef>
          </c:val>
          <c:extLst>
            <c:ext xmlns:c16="http://schemas.microsoft.com/office/drawing/2014/chart" uri="{C3380CC4-5D6E-409C-BE32-E72D297353CC}">
              <c16:uniqueId val="{00000001-4E57-884A-AD0F-7383239A2D2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1'!$B$107:$J$107</c:f>
              <c:numCache>
                <c:formatCode>#,###,,;\(#,###,,\);\ \-\ \-</c:formatCode>
                <c:ptCount val="9"/>
                <c:pt idx="0">
                  <c:v>29017000</c:v>
                </c:pt>
                <c:pt idx="1">
                  <c:v>84604000</c:v>
                </c:pt>
                <c:pt idx="2">
                  <c:v>60469000</c:v>
                </c:pt>
                <c:pt idx="3">
                  <c:v>142099000</c:v>
                </c:pt>
                <c:pt idx="4">
                  <c:v>269000000</c:v>
                </c:pt>
                <c:pt idx="5">
                  <c:v>352000000</c:v>
                </c:pt>
                <c:pt idx="6">
                  <c:v>422000000</c:v>
                </c:pt>
                <c:pt idx="7">
                  <c:v>632100000</c:v>
                </c:pt>
                <c:pt idx="8">
                  <c:v>777000000</c:v>
                </c:pt>
              </c:numCache>
            </c:numRef>
          </c:val>
          <c:extLst>
            <c:ext xmlns:c16="http://schemas.microsoft.com/office/drawing/2014/chart" uri="{C3380CC4-5D6E-409C-BE32-E72D297353CC}">
              <c16:uniqueId val="{00000002-4E57-884A-AD0F-7383239A2D28}"/>
            </c:ext>
          </c:extLst>
        </c:ser>
        <c:dLbls>
          <c:showLegendKey val="0"/>
          <c:showVal val="0"/>
          <c:showCatName val="0"/>
          <c:showSerName val="0"/>
          <c:showPercent val="0"/>
          <c:showBubbleSize val="0"/>
        </c:dLbls>
        <c:gapWidth val="150"/>
        <c:overlap val="100"/>
        <c:axId val="2044623328"/>
        <c:axId val="2044698880"/>
      </c:barChart>
      <c:catAx>
        <c:axId val="20446233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44698880"/>
        <c:crosses val="autoZero"/>
        <c:auto val="1"/>
        <c:lblAlgn val="ctr"/>
        <c:lblOffset val="100"/>
        <c:noMultiLvlLbl val="0"/>
      </c:catAx>
      <c:valAx>
        <c:axId val="204469888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44623328"/>
        <c:crosses val="autoZero"/>
        <c:crossBetween val="between"/>
      </c:valAx>
      <c:spPr>
        <a:noFill/>
        <a:ln>
          <a:noFill/>
        </a:ln>
        <a:effectLst/>
      </c:spPr>
    </c:plotArea>
    <c:legend>
      <c:legendPos val="b"/>
      <c:layout>
        <c:manualLayout>
          <c:xMode val="edge"/>
          <c:yMode val="edge"/>
          <c:x val="0.34417458413724772"/>
          <c:y val="0.89600773603044948"/>
          <c:w val="0.31429983834802105"/>
          <c:h val="6.36352547685925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15874</xdr:colOff>
      <xdr:row>109</xdr:row>
      <xdr:rowOff>49212</xdr:rowOff>
    </xdr:from>
    <xdr:to>
      <xdr:col>12</xdr:col>
      <xdr:colOff>1603374</xdr:colOff>
      <xdr:row>126</xdr:row>
      <xdr:rowOff>190499</xdr:rowOff>
    </xdr:to>
    <xdr:graphicFrame macro="">
      <xdr:nvGraphicFramePr>
        <xdr:cNvPr id="2" name="Chart 1">
          <a:extLst>
            <a:ext uri="{FF2B5EF4-FFF2-40B4-BE49-F238E27FC236}">
              <a16:creationId xmlns:a16="http://schemas.microsoft.com/office/drawing/2014/main" id="{813DBC95-63A5-7007-8DCA-19B86C5AD8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https://www.bing.com/financeapi/forcetrigger?t=c22our&amp;q=XNAS%3aDLO&amp;form=skydnc</v>
    <v>Learn more on Bing</v>
  </rv>
  <rv s="1">
    <v>0</v>
    <v>dLocal Ltd (XNAS:DLO)</v>
    <v>2</v>
    <v>3</v>
    <v>Finance</v>
    <v>4</v>
    <v>en-US</v>
    <v>c22our</v>
    <v>268435456</v>
    <v>1</v>
    <v>Powered by Refinitiv</v>
    <v>24.65</v>
    <v>9.0330999999999992</v>
    <v>2.1160000000000001</v>
    <v>-0.39</v>
    <v>-2.2387999999999998E-2</v>
    <v>-0.14000000000000001</v>
    <v>-8.2210000000000009E-3</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806</v>
    <v>Nasdaq Stock Market</v>
    <v>XNAS</v>
    <v>XNAS</v>
    <v>Dr Luis Bonavita, 1294, MONTEVIDEO, URUGUAY-NA, 11300 UY</v>
    <v>17.574999999999999</v>
    <v>Professional &amp; Commercial Services</v>
    <v>Stock</v>
    <v>45226.88912160859</v>
    <v>0</v>
    <v>16.96</v>
    <v>4931171000</v>
    <v>dLocal Ltd</v>
    <v>dLocal Ltd</v>
    <v>17.45</v>
    <v>40.4773</v>
    <v>17.420000000000002</v>
    <v>17.03</v>
    <v>16.89</v>
    <v>289557900</v>
    <v>DLO</v>
    <v>dLocal Ltd (XNAS:DLO)</v>
    <v>805547</v>
    <v>897852</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finbox.com/NASDAQGS:DLO/explorer/fcf_unlev_proj/" TargetMode="External"/><Relationship Id="rId1" Type="http://schemas.openxmlformats.org/officeDocument/2006/relationships/hyperlink" Target="https://finbox.com/NASDAQGS:D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9"/>
  <sheetViews>
    <sheetView tabSelected="1" topLeftCell="A92" zoomScale="80" zoomScaleNormal="80" workbookViewId="0">
      <pane xSplit="1" topLeftCell="B1" activePane="topRight" state="frozen"/>
      <selection pane="topRight" activeCell="E117" sqref="E117"/>
    </sheetView>
  </sheetViews>
  <sheetFormatPr baseColWidth="10" defaultRowHeight="16" x14ac:dyDescent="0.2"/>
  <cols>
    <col min="1" max="1" width="50" customWidth="1"/>
    <col min="2" max="5" width="15" customWidth="1"/>
    <col min="6" max="14" width="21" customWidth="1"/>
  </cols>
  <sheetData>
    <row r="1" spans="1:14" ht="22" thickBot="1" x14ac:dyDescent="0.3">
      <c r="A1" s="3" t="e" vm="1">
        <v>#VALUE!</v>
      </c>
      <c r="B1" s="8">
        <v>2019</v>
      </c>
      <c r="C1" s="8">
        <v>2020</v>
      </c>
      <c r="D1" s="8">
        <v>2021</v>
      </c>
      <c r="E1" s="8">
        <v>2022</v>
      </c>
      <c r="F1" s="19">
        <v>2023</v>
      </c>
      <c r="G1" s="19">
        <v>2024</v>
      </c>
      <c r="H1" s="19">
        <v>2025</v>
      </c>
      <c r="I1" s="19">
        <v>2026</v>
      </c>
      <c r="J1" s="19">
        <v>2027</v>
      </c>
    </row>
    <row r="2" spans="1:14" ht="21" x14ac:dyDescent="0.25">
      <c r="A2" s="4" t="s">
        <v>0</v>
      </c>
      <c r="B2" s="9" t="s">
        <v>90</v>
      </c>
      <c r="C2" s="9" t="s">
        <v>90</v>
      </c>
      <c r="D2" s="9" t="s">
        <v>90</v>
      </c>
      <c r="E2" s="9" t="s">
        <v>90</v>
      </c>
      <c r="F2" s="9" t="s">
        <v>90</v>
      </c>
      <c r="G2" s="9" t="s">
        <v>90</v>
      </c>
      <c r="H2" s="9" t="s">
        <v>90</v>
      </c>
      <c r="I2" s="9"/>
      <c r="J2" s="9"/>
    </row>
    <row r="3" spans="1:14" ht="40" x14ac:dyDescent="0.25">
      <c r="A3" s="5" t="s">
        <v>1</v>
      </c>
      <c r="B3" s="1">
        <v>55289000</v>
      </c>
      <c r="C3" s="1">
        <v>104143000</v>
      </c>
      <c r="D3" s="1">
        <v>244120000</v>
      </c>
      <c r="E3" s="1">
        <v>418925000</v>
      </c>
      <c r="F3" s="43">
        <v>633000000</v>
      </c>
      <c r="G3" s="43">
        <v>880000000</v>
      </c>
      <c r="H3" s="43">
        <v>1143000000</v>
      </c>
      <c r="I3" s="43">
        <v>1522000000</v>
      </c>
      <c r="J3" s="43">
        <v>1827000000</v>
      </c>
      <c r="K3" s="20" t="s">
        <v>104</v>
      </c>
      <c r="L3" s="21" t="s">
        <v>105</v>
      </c>
      <c r="M3" s="21" t="s">
        <v>106</v>
      </c>
      <c r="N3" s="21" t="s">
        <v>107</v>
      </c>
    </row>
    <row r="4" spans="1:14" ht="19" x14ac:dyDescent="0.25">
      <c r="A4" s="16" t="s">
        <v>94</v>
      </c>
      <c r="B4" s="42" t="e">
        <f t="shared" ref="B4" si="0">(B3/A3)-1</f>
        <v>#VALUE!</v>
      </c>
      <c r="C4" s="42">
        <f t="shared" ref="C4" si="1">(C3/B3)-1</f>
        <v>0.88361156830472609</v>
      </c>
      <c r="D4" s="42">
        <f t="shared" ref="D4" si="2">(D3/C3)-1</f>
        <v>1.3440845760156708</v>
      </c>
      <c r="E4" s="42">
        <f t="shared" ref="E4:J4" si="3">(E3/D3)-1</f>
        <v>0.71606177289857453</v>
      </c>
      <c r="F4" s="15">
        <f t="shared" si="3"/>
        <v>0.51101032404368318</v>
      </c>
      <c r="G4" s="15">
        <f t="shared" si="3"/>
        <v>0.39020537124802535</v>
      </c>
      <c r="H4" s="15">
        <f t="shared" si="3"/>
        <v>0.29886363636363633</v>
      </c>
      <c r="I4" s="15">
        <f t="shared" si="3"/>
        <v>0.3315835520559931</v>
      </c>
      <c r="J4" s="15">
        <f t="shared" si="3"/>
        <v>0.20039421813403413</v>
      </c>
      <c r="K4" s="22">
        <f>(E4+D4+C4)/3</f>
        <v>0.98125263907299054</v>
      </c>
      <c r="L4" s="22">
        <f>(E20+D20+C20)/3</f>
        <v>1.0331372176178213</v>
      </c>
      <c r="M4" s="22">
        <f>(E29+D29+C29)/3</f>
        <v>0.988384504709094</v>
      </c>
      <c r="N4" s="22">
        <f>(E106+D106+C106)/3</f>
        <v>0.99344927720379983</v>
      </c>
    </row>
    <row r="5" spans="1:14" ht="19" x14ac:dyDescent="0.25">
      <c r="A5" s="5" t="s">
        <v>2</v>
      </c>
      <c r="B5" s="1">
        <v>19413000</v>
      </c>
      <c r="C5" s="1">
        <v>44065000</v>
      </c>
      <c r="D5" s="1">
        <v>113677000</v>
      </c>
      <c r="E5" s="1">
        <v>216758000</v>
      </c>
    </row>
    <row r="6" spans="1:14" ht="20" x14ac:dyDescent="0.25">
      <c r="A6" s="6" t="s">
        <v>3</v>
      </c>
      <c r="B6" s="10">
        <v>35876000</v>
      </c>
      <c r="C6" s="10">
        <v>60078000</v>
      </c>
      <c r="D6" s="10">
        <v>130443000</v>
      </c>
      <c r="E6" s="10">
        <v>202167000</v>
      </c>
      <c r="K6" s="20" t="s">
        <v>108</v>
      </c>
      <c r="L6" s="51" t="s">
        <v>109</v>
      </c>
      <c r="M6" s="51" t="s">
        <v>110</v>
      </c>
      <c r="N6" s="51" t="s">
        <v>111</v>
      </c>
    </row>
    <row r="7" spans="1:14" ht="19" x14ac:dyDescent="0.25">
      <c r="A7" s="5" t="s">
        <v>4</v>
      </c>
      <c r="B7" s="2">
        <v>0.64890000000000003</v>
      </c>
      <c r="C7" s="2">
        <v>0.57689999999999997</v>
      </c>
      <c r="D7" s="2">
        <v>0.5343</v>
      </c>
      <c r="E7" s="2">
        <v>0.48259999999999997</v>
      </c>
      <c r="K7" s="22">
        <f>E7</f>
        <v>0.48259999999999997</v>
      </c>
      <c r="L7" s="23">
        <f>F21</f>
        <v>0.32859399684044233</v>
      </c>
      <c r="M7" s="23">
        <f>F30</f>
        <v>0.28120063191153238</v>
      </c>
      <c r="N7" s="23">
        <f>F107/F3</f>
        <v>0.42496050552922593</v>
      </c>
    </row>
    <row r="8" spans="1:14" ht="19" x14ac:dyDescent="0.25">
      <c r="A8" s="5" t="s">
        <v>5</v>
      </c>
      <c r="B8" s="1">
        <v>1347000</v>
      </c>
      <c r="C8" s="1">
        <v>2005000</v>
      </c>
      <c r="D8" s="1">
        <v>3386000</v>
      </c>
      <c r="E8" s="1">
        <v>6348000</v>
      </c>
    </row>
    <row r="9" spans="1:14" ht="20" x14ac:dyDescent="0.25">
      <c r="A9" s="16" t="s">
        <v>95</v>
      </c>
      <c r="B9" s="17">
        <f t="shared" ref="B9:D9" si="4">B8/B3</f>
        <v>2.436289316138834E-2</v>
      </c>
      <c r="C9" s="17">
        <f t="shared" si="4"/>
        <v>1.9252374139404473E-2</v>
      </c>
      <c r="D9" s="17">
        <f t="shared" si="4"/>
        <v>1.3870227756840898E-2</v>
      </c>
      <c r="E9" s="17">
        <f t="shared" ref="E9" si="5">E8/E3</f>
        <v>1.5153070358656083E-2</v>
      </c>
      <c r="K9" s="20" t="s">
        <v>112</v>
      </c>
      <c r="L9" s="21" t="s">
        <v>113</v>
      </c>
      <c r="M9" s="21" t="s">
        <v>114</v>
      </c>
      <c r="N9" s="21" t="s">
        <v>115</v>
      </c>
    </row>
    <row r="10" spans="1:14" ht="19" x14ac:dyDescent="0.25">
      <c r="A10" s="5" t="s">
        <v>6</v>
      </c>
      <c r="B10" s="1">
        <v>13866000</v>
      </c>
      <c r="C10" s="1">
        <v>19877000</v>
      </c>
      <c r="D10" s="1">
        <v>38234000</v>
      </c>
      <c r="E10" s="1">
        <v>48343000</v>
      </c>
      <c r="K10" s="22">
        <f>E9</f>
        <v>1.5153070358656083E-2</v>
      </c>
      <c r="L10" s="23">
        <f>E13</f>
        <v>0.1472292176403891</v>
      </c>
      <c r="M10" s="23">
        <f>E80</f>
        <v>2.0729247478665631E-2</v>
      </c>
      <c r="N10" s="23">
        <f>E89</f>
        <v>2.9484991346899803E-2</v>
      </c>
    </row>
    <row r="11" spans="1:14" ht="19" x14ac:dyDescent="0.25">
      <c r="A11" s="5" t="s">
        <v>7</v>
      </c>
      <c r="B11" s="1">
        <v>2057000</v>
      </c>
      <c r="C11" s="1">
        <v>2852000</v>
      </c>
      <c r="D11" s="1">
        <v>5916000</v>
      </c>
      <c r="E11" s="1">
        <v>13335000</v>
      </c>
    </row>
    <row r="12" spans="1:14" ht="20" x14ac:dyDescent="0.25">
      <c r="A12" s="5" t="s">
        <v>8</v>
      </c>
      <c r="B12" s="1">
        <v>15923000</v>
      </c>
      <c r="C12" s="1">
        <v>22729000</v>
      </c>
      <c r="D12" s="1">
        <v>44150000</v>
      </c>
      <c r="E12" s="1">
        <v>61678000</v>
      </c>
      <c r="K12" s="20" t="s">
        <v>116</v>
      </c>
      <c r="L12" s="21" t="s">
        <v>117</v>
      </c>
      <c r="M12" s="21" t="s">
        <v>118</v>
      </c>
      <c r="N12" s="21" t="s">
        <v>119</v>
      </c>
    </row>
    <row r="13" spans="1:14" ht="19" x14ac:dyDescent="0.25">
      <c r="A13" s="16" t="s">
        <v>96</v>
      </c>
      <c r="B13" s="17">
        <f t="shared" ref="B13:D13" si="6">B12/B3</f>
        <v>0.28799580386695367</v>
      </c>
      <c r="C13" s="17">
        <f t="shared" si="6"/>
        <v>0.2182479859424061</v>
      </c>
      <c r="D13" s="17">
        <f t="shared" si="6"/>
        <v>0.18085367851876127</v>
      </c>
      <c r="E13" s="17">
        <f t="shared" ref="E13" si="7">E12/E3</f>
        <v>0.1472292176403891</v>
      </c>
      <c r="K13" s="22">
        <f>E28/E72</f>
        <v>0.27195974266131839</v>
      </c>
      <c r="L13" s="23">
        <f>E28/E54</f>
        <v>0.13152955157987223</v>
      </c>
      <c r="M13" s="23">
        <f>E22/(E72+E56+E61)</f>
        <v>0.31683791255065541</v>
      </c>
      <c r="N13" s="24">
        <f>E67/E72</f>
        <v>1.0676927850581415</v>
      </c>
    </row>
    <row r="14" spans="1:14" ht="19" x14ac:dyDescent="0.25">
      <c r="A14" s="5" t="s">
        <v>9</v>
      </c>
      <c r="B14" s="1">
        <v>235000</v>
      </c>
      <c r="C14" s="1">
        <v>2311000</v>
      </c>
      <c r="D14" s="1">
        <v>-964000</v>
      </c>
      <c r="E14" s="1">
        <v>697000</v>
      </c>
    </row>
    <row r="15" spans="1:14" ht="20" x14ac:dyDescent="0.25">
      <c r="A15" s="5" t="s">
        <v>10</v>
      </c>
      <c r="B15" s="1">
        <v>17505000</v>
      </c>
      <c r="C15" s="1">
        <v>27045000</v>
      </c>
      <c r="D15" s="1">
        <v>46572000</v>
      </c>
      <c r="E15" s="1">
        <v>68723000</v>
      </c>
      <c r="K15" s="20" t="s">
        <v>163</v>
      </c>
      <c r="L15" s="21" t="s">
        <v>120</v>
      </c>
      <c r="M15" s="21" t="s">
        <v>121</v>
      </c>
      <c r="N15" s="21" t="s">
        <v>122</v>
      </c>
    </row>
    <row r="16" spans="1:14" ht="19" x14ac:dyDescent="0.25">
      <c r="A16" s="5" t="s">
        <v>11</v>
      </c>
      <c r="B16" s="1">
        <v>36918000</v>
      </c>
      <c r="C16" s="1">
        <v>71110000</v>
      </c>
      <c r="D16" s="1">
        <v>160249000</v>
      </c>
      <c r="E16" s="1">
        <v>285481000</v>
      </c>
      <c r="K16" s="25">
        <f>AVERAGE(C35:F35)</f>
        <v>-1.7523098379805327E-3</v>
      </c>
      <c r="L16" s="26">
        <f>M102/E3</f>
        <v>11.771011517574745</v>
      </c>
      <c r="M16" s="26">
        <f>M102/E28</f>
        <v>45.372054507144632</v>
      </c>
      <c r="N16" s="27">
        <f>M102/E107</f>
        <v>34.702362437455577</v>
      </c>
    </row>
    <row r="17" spans="1:14" ht="19" x14ac:dyDescent="0.25">
      <c r="A17" s="5" t="s">
        <v>12</v>
      </c>
      <c r="B17" s="1">
        <v>30000</v>
      </c>
      <c r="C17" s="1">
        <v>20000</v>
      </c>
      <c r="D17" s="1">
        <v>142000</v>
      </c>
      <c r="E17" s="1">
        <v>24668000</v>
      </c>
    </row>
    <row r="18" spans="1:14" ht="20" x14ac:dyDescent="0.25">
      <c r="A18" s="5" t="s">
        <v>13</v>
      </c>
      <c r="B18" s="1">
        <v>1449000</v>
      </c>
      <c r="C18" s="1">
        <v>3564000</v>
      </c>
      <c r="D18" s="1">
        <v>6574000</v>
      </c>
      <c r="E18" s="1">
        <v>22575000</v>
      </c>
      <c r="K18" s="20" t="s">
        <v>123</v>
      </c>
      <c r="L18" s="21" t="s">
        <v>124</v>
      </c>
      <c r="M18" s="21" t="s">
        <v>125</v>
      </c>
      <c r="N18" s="21" t="s">
        <v>126</v>
      </c>
    </row>
    <row r="19" spans="1:14" ht="19" x14ac:dyDescent="0.25">
      <c r="A19" s="6" t="s">
        <v>14</v>
      </c>
      <c r="B19" s="10">
        <v>19013000</v>
      </c>
      <c r="C19" s="10">
        <v>34509000</v>
      </c>
      <c r="D19" s="10">
        <v>90412000</v>
      </c>
      <c r="E19" s="10">
        <v>150485000</v>
      </c>
      <c r="F19" s="28">
        <v>208000000</v>
      </c>
      <c r="G19" s="28">
        <v>271900000</v>
      </c>
      <c r="H19" s="28">
        <v>363000000</v>
      </c>
      <c r="I19" s="28">
        <v>525000000</v>
      </c>
      <c r="J19" s="28">
        <v>721000000</v>
      </c>
      <c r="K19" s="29">
        <f>E40-E56-E61</f>
        <v>465308000</v>
      </c>
      <c r="L19" s="26">
        <f>M102/F3</f>
        <v>7.7901595576619274</v>
      </c>
      <c r="M19" s="26">
        <f>M102/F28</f>
        <v>27.70320786516854</v>
      </c>
      <c r="N19" s="27">
        <f>M102/F107</f>
        <v>18.331490706319702</v>
      </c>
    </row>
    <row r="20" spans="1:14" ht="19" x14ac:dyDescent="0.25">
      <c r="A20" s="16" t="s">
        <v>97</v>
      </c>
      <c r="B20" s="17" t="e">
        <f t="shared" ref="B20" si="8">(B19/A19)-1</f>
        <v>#VALUE!</v>
      </c>
      <c r="C20" s="17">
        <f t="shared" ref="C20" si="9">(C19/B19)-1</f>
        <v>0.81502130121495808</v>
      </c>
      <c r="D20" s="17">
        <f t="shared" ref="D20" si="10">(D19/C19)-1</f>
        <v>1.619954214842505</v>
      </c>
      <c r="E20" s="17">
        <f t="shared" ref="E20:J20" si="11">(E19/D19)-1</f>
        <v>0.66443613679600055</v>
      </c>
      <c r="F20" s="15">
        <f t="shared" si="11"/>
        <v>0.38219756121872606</v>
      </c>
      <c r="G20" s="15">
        <f t="shared" si="11"/>
        <v>0.30721153846153837</v>
      </c>
      <c r="H20" s="15">
        <f t="shared" si="11"/>
        <v>0.33504965060684078</v>
      </c>
      <c r="I20" s="15">
        <f t="shared" si="11"/>
        <v>0.44628099173553726</v>
      </c>
      <c r="J20" s="15">
        <f t="shared" si="11"/>
        <v>0.37333333333333329</v>
      </c>
    </row>
    <row r="21" spans="1:14" ht="20" x14ac:dyDescent="0.25">
      <c r="A21" s="5" t="s">
        <v>15</v>
      </c>
      <c r="B21" s="2">
        <v>0.34389999999999998</v>
      </c>
      <c r="C21" s="2">
        <v>0.33139999999999997</v>
      </c>
      <c r="D21" s="2">
        <v>0.37040000000000001</v>
      </c>
      <c r="E21" s="2">
        <v>0.35920000000000002</v>
      </c>
      <c r="F21" s="30">
        <f>F19/F3</f>
        <v>0.32859399684044233</v>
      </c>
      <c r="G21" s="30">
        <f t="shared" ref="G21:J21" si="12">G19/G3</f>
        <v>0.30897727272727271</v>
      </c>
      <c r="H21" s="30">
        <f t="shared" si="12"/>
        <v>0.31758530183727035</v>
      </c>
      <c r="I21" s="30">
        <f t="shared" si="12"/>
        <v>0.34494086727989487</v>
      </c>
      <c r="J21" s="30">
        <f t="shared" si="12"/>
        <v>0.3946360153256705</v>
      </c>
      <c r="L21" s="44" t="s">
        <v>167</v>
      </c>
      <c r="M21" s="20" t="s">
        <v>164</v>
      </c>
      <c r="N21" s="21" t="s">
        <v>166</v>
      </c>
    </row>
    <row r="22" spans="1:14" ht="19" x14ac:dyDescent="0.25">
      <c r="A22" s="6" t="s">
        <v>16</v>
      </c>
      <c r="B22" s="10">
        <v>17564000</v>
      </c>
      <c r="C22" s="10">
        <v>30945000</v>
      </c>
      <c r="D22" s="10">
        <v>83838000</v>
      </c>
      <c r="E22" s="10">
        <v>127910000</v>
      </c>
      <c r="L22" s="22">
        <f>SUM(F29:J29)/5</f>
        <v>0.4096645530620121</v>
      </c>
      <c r="M22" s="40">
        <f>(-1*E98)/M102</f>
        <v>0</v>
      </c>
      <c r="N22" s="41">
        <f>F107/M102</f>
        <v>5.455093729258223E-2</v>
      </c>
    </row>
    <row r="23" spans="1:14" ht="19" x14ac:dyDescent="0.25">
      <c r="A23" s="5" t="s">
        <v>17</v>
      </c>
      <c r="B23" s="2">
        <v>0.31769999999999998</v>
      </c>
      <c r="C23" s="2">
        <v>0.29709999999999998</v>
      </c>
      <c r="D23" s="2">
        <v>0.34339999999999998</v>
      </c>
      <c r="E23" s="2">
        <v>0.30530000000000002</v>
      </c>
    </row>
    <row r="24" spans="1:14" ht="19" x14ac:dyDescent="0.25">
      <c r="A24" s="5" t="s">
        <v>18</v>
      </c>
      <c r="B24" s="1">
        <v>259000</v>
      </c>
      <c r="C24" s="1">
        <v>473000</v>
      </c>
      <c r="D24" s="1">
        <v>1662000</v>
      </c>
      <c r="E24" s="1">
        <v>-7627000</v>
      </c>
    </row>
    <row r="25" spans="1:14" ht="19" x14ac:dyDescent="0.25">
      <c r="A25" s="6" t="s">
        <v>19</v>
      </c>
      <c r="B25" s="10">
        <v>17823000</v>
      </c>
      <c r="C25" s="10">
        <v>31418000</v>
      </c>
      <c r="D25" s="10">
        <v>85500000</v>
      </c>
      <c r="E25" s="10">
        <v>120283000</v>
      </c>
    </row>
    <row r="26" spans="1:14" ht="19" x14ac:dyDescent="0.25">
      <c r="A26" s="5" t="s">
        <v>20</v>
      </c>
      <c r="B26" s="2">
        <v>0.32240000000000002</v>
      </c>
      <c r="C26" s="2">
        <v>0.30170000000000002</v>
      </c>
      <c r="D26" s="2">
        <v>0.35020000000000001</v>
      </c>
      <c r="E26" s="2">
        <v>0.28710000000000002</v>
      </c>
    </row>
    <row r="27" spans="1:14" ht="19" x14ac:dyDescent="0.25">
      <c r="A27" s="5" t="s">
        <v>21</v>
      </c>
      <c r="B27" s="1">
        <v>2221000</v>
      </c>
      <c r="C27" s="1">
        <v>3231000</v>
      </c>
      <c r="D27" s="1">
        <v>7647000</v>
      </c>
      <c r="E27" s="1">
        <v>11586000</v>
      </c>
    </row>
    <row r="28" spans="1:14" ht="20" thickBot="1" x14ac:dyDescent="0.3">
      <c r="A28" s="7" t="s">
        <v>22</v>
      </c>
      <c r="B28" s="11">
        <v>15602000</v>
      </c>
      <c r="C28" s="11">
        <v>28184000</v>
      </c>
      <c r="D28" s="11">
        <v>77876000</v>
      </c>
      <c r="E28" s="11">
        <v>108683000</v>
      </c>
      <c r="F28" s="31">
        <v>178000000</v>
      </c>
      <c r="G28" s="31">
        <v>243900000</v>
      </c>
      <c r="H28" s="31">
        <v>320200000</v>
      </c>
      <c r="I28" s="31">
        <v>424000000</v>
      </c>
      <c r="J28" s="31">
        <v>595000000</v>
      </c>
    </row>
    <row r="29" spans="1:14" ht="20" thickTop="1" x14ac:dyDescent="0.25">
      <c r="A29" s="16" t="s">
        <v>98</v>
      </c>
      <c r="B29" s="17" t="e">
        <f t="shared" ref="B29" si="13">(B28/A28)-1</f>
        <v>#VALUE!</v>
      </c>
      <c r="C29" s="17">
        <f t="shared" ref="C29" si="14">(C28/B28)-1</f>
        <v>0.80643507242661205</v>
      </c>
      <c r="D29" s="17">
        <f t="shared" ref="D29" si="15">(D28/C28)-1</f>
        <v>1.7631280158955436</v>
      </c>
      <c r="E29" s="17">
        <f t="shared" ref="E29:J29" si="16">(E28/D28)-1</f>
        <v>0.39559042580512616</v>
      </c>
      <c r="F29" s="15">
        <f t="shared" si="16"/>
        <v>0.6377906388303598</v>
      </c>
      <c r="G29" s="15">
        <f t="shared" si="16"/>
        <v>0.37022471910112364</v>
      </c>
      <c r="H29" s="15">
        <f t="shared" si="16"/>
        <v>0.31283312833128329</v>
      </c>
      <c r="I29" s="15">
        <f t="shared" si="16"/>
        <v>0.32417239225484074</v>
      </c>
      <c r="J29" s="15">
        <f t="shared" si="16"/>
        <v>0.40330188679245293</v>
      </c>
    </row>
    <row r="30" spans="1:14" ht="19" x14ac:dyDescent="0.25">
      <c r="A30" s="5" t="s">
        <v>23</v>
      </c>
      <c r="B30" s="2">
        <v>0.28220000000000001</v>
      </c>
      <c r="C30" s="2">
        <v>0.27060000000000001</v>
      </c>
      <c r="D30" s="2">
        <v>0.31900000000000001</v>
      </c>
      <c r="E30" s="2">
        <v>0.25940000000000002</v>
      </c>
      <c r="F30" s="32">
        <f>F28/F3</f>
        <v>0.28120063191153238</v>
      </c>
      <c r="G30" s="32">
        <f t="shared" ref="G30:J30" si="17">G28/G3</f>
        <v>0.27715909090909091</v>
      </c>
      <c r="H30" s="32">
        <f t="shared" si="17"/>
        <v>0.28013998250218725</v>
      </c>
      <c r="I30" s="32">
        <f t="shared" si="17"/>
        <v>0.27858081471747698</v>
      </c>
      <c r="J30" s="32">
        <f t="shared" si="17"/>
        <v>0.32567049808429116</v>
      </c>
    </row>
    <row r="31" spans="1:14" ht="19" x14ac:dyDescent="0.25">
      <c r="A31" s="5" t="s">
        <v>24</v>
      </c>
      <c r="B31" s="12">
        <v>0.05</v>
      </c>
      <c r="C31" s="12">
        <v>0.1</v>
      </c>
      <c r="D31" s="12">
        <v>0.27</v>
      </c>
      <c r="E31" s="12">
        <v>0.37</v>
      </c>
      <c r="F31" s="33">
        <v>0.6</v>
      </c>
      <c r="G31" s="33">
        <v>0.83</v>
      </c>
      <c r="H31" s="33">
        <v>1.0900000000000001</v>
      </c>
      <c r="I31" s="33">
        <v>1.44</v>
      </c>
      <c r="J31" s="33">
        <v>2.02</v>
      </c>
    </row>
    <row r="32" spans="1:14" ht="19" x14ac:dyDescent="0.25">
      <c r="A32" s="5" t="s">
        <v>25</v>
      </c>
      <c r="B32" s="12">
        <v>0.05</v>
      </c>
      <c r="C32" s="12">
        <v>0.1</v>
      </c>
      <c r="D32" s="12">
        <v>0.25</v>
      </c>
      <c r="E32" s="12">
        <v>0.35</v>
      </c>
    </row>
    <row r="33" spans="1:6" ht="19" x14ac:dyDescent="0.25">
      <c r="A33" s="5" t="s">
        <v>26</v>
      </c>
      <c r="B33" s="1">
        <v>292915765</v>
      </c>
      <c r="C33" s="1">
        <v>292915765</v>
      </c>
      <c r="D33" s="1">
        <v>287121304</v>
      </c>
      <c r="E33" s="1">
        <v>295624000</v>
      </c>
      <c r="F33" s="1" cm="1">
        <f t="array" ref="F33">_FV(A1,"Shares outstanding",TRUE)</f>
        <v>289557900</v>
      </c>
    </row>
    <row r="34" spans="1:6" ht="19" x14ac:dyDescent="0.25">
      <c r="A34" s="5" t="s">
        <v>27</v>
      </c>
      <c r="B34" s="1">
        <v>292915765</v>
      </c>
      <c r="C34" s="1">
        <v>292915765</v>
      </c>
      <c r="D34" s="1">
        <v>308930304</v>
      </c>
      <c r="E34" s="1">
        <v>313139000</v>
      </c>
      <c r="F34" s="1" cm="1">
        <f t="array" ref="F34">_FV(A1,"Shares outstanding",TRUE)</f>
        <v>289557900</v>
      </c>
    </row>
    <row r="35" spans="1:6" ht="19" x14ac:dyDescent="0.25">
      <c r="A35" s="16" t="s">
        <v>99</v>
      </c>
      <c r="B35" s="18" t="e">
        <f t="shared" ref="B35" si="18">(B34-A34)/A34</f>
        <v>#VALUE!</v>
      </c>
      <c r="C35" s="18">
        <f t="shared" ref="C35" si="19">(C34-B34)/B34</f>
        <v>0</v>
      </c>
      <c r="D35" s="18">
        <f t="shared" ref="D35" si="20">(D34-C34)/C34</f>
        <v>5.4672847670046029E-2</v>
      </c>
      <c r="E35" s="18">
        <f t="shared" ref="E35:F35" si="21">(E34-D34)/D34</f>
        <v>1.3623448219569938E-2</v>
      </c>
      <c r="F35" s="18">
        <f t="shared" si="21"/>
        <v>-7.5305535241538102E-2</v>
      </c>
    </row>
    <row r="36" spans="1:6" ht="19" x14ac:dyDescent="0.25">
      <c r="A36" s="5" t="s">
        <v>28</v>
      </c>
      <c r="B36" s="13" t="s">
        <v>91</v>
      </c>
      <c r="C36" s="13" t="s">
        <v>91</v>
      </c>
      <c r="D36" s="13" t="s">
        <v>91</v>
      </c>
      <c r="E36" s="13" t="s">
        <v>91</v>
      </c>
    </row>
    <row r="37" spans="1:6" ht="21" x14ac:dyDescent="0.25">
      <c r="A37" s="4" t="s">
        <v>29</v>
      </c>
      <c r="B37" s="9" t="s">
        <v>90</v>
      </c>
      <c r="C37" s="9" t="s">
        <v>90</v>
      </c>
      <c r="D37" s="9" t="s">
        <v>90</v>
      </c>
      <c r="E37" s="9" t="s">
        <v>90</v>
      </c>
    </row>
    <row r="38" spans="1:6" ht="19" x14ac:dyDescent="0.25">
      <c r="A38" s="5" t="s">
        <v>30</v>
      </c>
      <c r="B38" s="1">
        <v>6880000</v>
      </c>
      <c r="C38" s="1">
        <v>43684000</v>
      </c>
      <c r="D38" s="1">
        <v>227913000</v>
      </c>
      <c r="E38" s="1">
        <v>468092000</v>
      </c>
    </row>
    <row r="39" spans="1:6" ht="19" x14ac:dyDescent="0.25">
      <c r="A39" s="5" t="s">
        <v>31</v>
      </c>
      <c r="B39" s="1">
        <v>15399000</v>
      </c>
      <c r="C39" s="1">
        <v>8319000</v>
      </c>
      <c r="D39" s="1">
        <v>1004000</v>
      </c>
      <c r="E39" s="1">
        <v>1295000</v>
      </c>
    </row>
    <row r="40" spans="1:6" ht="19" x14ac:dyDescent="0.25">
      <c r="A40" s="5" t="s">
        <v>32</v>
      </c>
      <c r="B40" s="1">
        <v>22279000</v>
      </c>
      <c r="C40" s="1">
        <v>52003000</v>
      </c>
      <c r="D40" s="1">
        <v>228917000</v>
      </c>
      <c r="E40" s="1">
        <v>469387000</v>
      </c>
    </row>
    <row r="41" spans="1:6" ht="19" x14ac:dyDescent="0.25">
      <c r="A41" s="5" t="s">
        <v>33</v>
      </c>
      <c r="B41" s="1">
        <v>24443000</v>
      </c>
      <c r="C41" s="1">
        <v>67212000</v>
      </c>
      <c r="D41" s="1">
        <v>178877000</v>
      </c>
      <c r="E41" s="1">
        <v>240446000</v>
      </c>
    </row>
    <row r="42" spans="1:6" ht="19" x14ac:dyDescent="0.25">
      <c r="A42" s="5" t="s">
        <v>34</v>
      </c>
      <c r="B42" s="1" t="s">
        <v>92</v>
      </c>
      <c r="C42" s="1" t="s">
        <v>92</v>
      </c>
      <c r="D42" s="1" t="s">
        <v>92</v>
      </c>
      <c r="E42" s="1" t="s">
        <v>92</v>
      </c>
    </row>
    <row r="43" spans="1:6" ht="19" x14ac:dyDescent="0.25">
      <c r="A43" s="5" t="s">
        <v>35</v>
      </c>
      <c r="B43" s="1">
        <v>96000</v>
      </c>
      <c r="C43" s="1">
        <v>397000</v>
      </c>
      <c r="D43" s="1">
        <v>121712000</v>
      </c>
      <c r="E43" s="1">
        <v>56789000</v>
      </c>
    </row>
    <row r="44" spans="1:6" ht="19" x14ac:dyDescent="0.25">
      <c r="A44" s="6" t="s">
        <v>36</v>
      </c>
      <c r="B44" s="10">
        <v>77216000</v>
      </c>
      <c r="C44" s="10">
        <v>194854000</v>
      </c>
      <c r="D44" s="10">
        <v>529506000</v>
      </c>
      <c r="E44" s="10">
        <v>767828000</v>
      </c>
    </row>
    <row r="45" spans="1:6" ht="19" x14ac:dyDescent="0.25">
      <c r="A45" s="5" t="s">
        <v>37</v>
      </c>
      <c r="B45" s="1">
        <v>561000</v>
      </c>
      <c r="C45" s="1">
        <v>1101000</v>
      </c>
      <c r="D45" s="1">
        <v>6400000</v>
      </c>
      <c r="E45" s="1">
        <v>6668000</v>
      </c>
    </row>
    <row r="46" spans="1:6" ht="19" x14ac:dyDescent="0.25">
      <c r="A46" s="5" t="s">
        <v>38</v>
      </c>
      <c r="B46" s="1" t="s">
        <v>92</v>
      </c>
      <c r="C46" s="1" t="s">
        <v>92</v>
      </c>
      <c r="D46" s="1" t="s">
        <v>92</v>
      </c>
      <c r="E46" s="1" t="s">
        <v>92</v>
      </c>
    </row>
    <row r="47" spans="1:6" ht="19" x14ac:dyDescent="0.25">
      <c r="A47" s="5" t="s">
        <v>39</v>
      </c>
      <c r="B47" s="1">
        <v>1803000</v>
      </c>
      <c r="C47" s="1">
        <v>4153000</v>
      </c>
      <c r="D47" s="1">
        <v>46969000</v>
      </c>
      <c r="E47" s="1">
        <v>51443000</v>
      </c>
    </row>
    <row r="48" spans="1:6" ht="19" x14ac:dyDescent="0.25">
      <c r="A48" s="5" t="s">
        <v>40</v>
      </c>
      <c r="B48" s="1">
        <v>1803000</v>
      </c>
      <c r="C48" s="1">
        <v>4153000</v>
      </c>
      <c r="D48" s="1">
        <v>46969000</v>
      </c>
      <c r="E48" s="1">
        <v>51443000</v>
      </c>
    </row>
    <row r="49" spans="1:5" ht="19" x14ac:dyDescent="0.25">
      <c r="A49" s="5" t="s">
        <v>41</v>
      </c>
      <c r="B49" s="1" t="s">
        <v>92</v>
      </c>
      <c r="C49" s="1" t="s">
        <v>92</v>
      </c>
      <c r="D49" s="1" t="s">
        <v>92</v>
      </c>
      <c r="E49" s="1" t="s">
        <v>92</v>
      </c>
    </row>
    <row r="50" spans="1:5" ht="19" x14ac:dyDescent="0.25">
      <c r="A50" s="5" t="s">
        <v>42</v>
      </c>
      <c r="B50" s="1">
        <v>16000</v>
      </c>
      <c r="C50" s="1">
        <v>216000</v>
      </c>
      <c r="D50" s="1">
        <v>133000</v>
      </c>
      <c r="E50" s="1">
        <v>362000</v>
      </c>
    </row>
    <row r="51" spans="1:5" ht="19" x14ac:dyDescent="0.25">
      <c r="A51" s="5" t="s">
        <v>43</v>
      </c>
      <c r="B51" s="1" t="s">
        <v>92</v>
      </c>
      <c r="C51" s="1">
        <v>143000</v>
      </c>
      <c r="D51" s="1" t="s">
        <v>92</v>
      </c>
      <c r="E51" s="1" t="s">
        <v>92</v>
      </c>
    </row>
    <row r="52" spans="1:5" ht="19" x14ac:dyDescent="0.25">
      <c r="A52" s="5" t="s">
        <v>44</v>
      </c>
      <c r="B52" s="1">
        <v>2380000</v>
      </c>
      <c r="C52" s="1">
        <v>5613000</v>
      </c>
      <c r="D52" s="1">
        <v>53502000</v>
      </c>
      <c r="E52" s="1">
        <v>58473000</v>
      </c>
    </row>
    <row r="53" spans="1:5" ht="19" x14ac:dyDescent="0.25">
      <c r="A53" s="5" t="s">
        <v>45</v>
      </c>
      <c r="B53" s="1" t="s">
        <v>92</v>
      </c>
      <c r="C53" s="1" t="s">
        <v>92</v>
      </c>
      <c r="D53" s="1" t="s">
        <v>92</v>
      </c>
      <c r="E53" s="1" t="s">
        <v>92</v>
      </c>
    </row>
    <row r="54" spans="1:5" ht="20" thickBot="1" x14ac:dyDescent="0.3">
      <c r="A54" s="7" t="s">
        <v>46</v>
      </c>
      <c r="B54" s="11">
        <v>79596000</v>
      </c>
      <c r="C54" s="11">
        <v>200467000</v>
      </c>
      <c r="D54" s="11">
        <v>583008000</v>
      </c>
      <c r="E54" s="11">
        <v>826301000</v>
      </c>
    </row>
    <row r="55" spans="1:5" ht="20" thickTop="1" x14ac:dyDescent="0.25">
      <c r="A55" s="5" t="s">
        <v>47</v>
      </c>
      <c r="B55" s="1">
        <v>50832000</v>
      </c>
      <c r="C55" s="1">
        <v>136727000</v>
      </c>
      <c r="D55" s="1">
        <v>269227000</v>
      </c>
      <c r="E55" s="1">
        <v>407874000</v>
      </c>
    </row>
    <row r="56" spans="1:5" ht="19" x14ac:dyDescent="0.25">
      <c r="A56" s="5" t="s">
        <v>48</v>
      </c>
      <c r="B56" s="1">
        <v>180000</v>
      </c>
      <c r="C56" s="1">
        <v>201000</v>
      </c>
      <c r="D56" s="1">
        <v>5516000</v>
      </c>
      <c r="E56" s="1">
        <v>686000</v>
      </c>
    </row>
    <row r="57" spans="1:5" ht="19" x14ac:dyDescent="0.25">
      <c r="A57" s="5" t="s">
        <v>49</v>
      </c>
      <c r="B57" s="1">
        <v>893000</v>
      </c>
      <c r="C57" s="1">
        <v>7787000</v>
      </c>
      <c r="D57" s="1">
        <v>13126000</v>
      </c>
      <c r="E57" s="1">
        <v>11695000</v>
      </c>
    </row>
    <row r="58" spans="1:5" ht="19" x14ac:dyDescent="0.25">
      <c r="A58" s="5" t="s">
        <v>50</v>
      </c>
      <c r="B58" s="1" t="s">
        <v>92</v>
      </c>
      <c r="C58" s="1" t="s">
        <v>92</v>
      </c>
      <c r="D58" s="1" t="s">
        <v>92</v>
      </c>
      <c r="E58" s="1" t="s">
        <v>92</v>
      </c>
    </row>
    <row r="59" spans="1:5" ht="19" x14ac:dyDescent="0.25">
      <c r="A59" s="5" t="s">
        <v>51</v>
      </c>
      <c r="B59" s="1">
        <v>3836000</v>
      </c>
      <c r="C59" s="1">
        <v>18215000</v>
      </c>
      <c r="D59" s="1">
        <v>23655000</v>
      </c>
      <c r="E59" s="1">
        <v>13712000</v>
      </c>
    </row>
    <row r="60" spans="1:5" ht="19" x14ac:dyDescent="0.25">
      <c r="A60" s="6" t="s">
        <v>52</v>
      </c>
      <c r="B60" s="10">
        <v>54848000</v>
      </c>
      <c r="C60" s="10">
        <v>155143000</v>
      </c>
      <c r="D60" s="10">
        <v>298398000</v>
      </c>
      <c r="E60" s="10">
        <v>422272000</v>
      </c>
    </row>
    <row r="61" spans="1:5" ht="19" x14ac:dyDescent="0.25">
      <c r="A61" s="5" t="s">
        <v>53</v>
      </c>
      <c r="B61" s="1">
        <v>219000</v>
      </c>
      <c r="C61" s="1">
        <v>17000</v>
      </c>
      <c r="D61" s="1">
        <v>3426000</v>
      </c>
      <c r="E61" s="1">
        <v>3393000</v>
      </c>
    </row>
    <row r="62" spans="1:5" ht="19" x14ac:dyDescent="0.25">
      <c r="A62" s="5" t="s">
        <v>50</v>
      </c>
      <c r="B62" s="1" t="s">
        <v>92</v>
      </c>
      <c r="C62" s="1" t="s">
        <v>92</v>
      </c>
      <c r="D62" s="1" t="s">
        <v>92</v>
      </c>
      <c r="E62" s="1" t="s">
        <v>92</v>
      </c>
    </row>
    <row r="63" spans="1:5" ht="19" x14ac:dyDescent="0.25">
      <c r="A63" s="5" t="s">
        <v>54</v>
      </c>
      <c r="B63" s="1" t="s">
        <v>92</v>
      </c>
      <c r="C63" s="1">
        <v>259000</v>
      </c>
      <c r="D63" s="1">
        <v>883000</v>
      </c>
      <c r="E63" s="1">
        <v>1016000</v>
      </c>
    </row>
    <row r="64" spans="1:5" ht="19" x14ac:dyDescent="0.25">
      <c r="A64" s="5" t="s">
        <v>55</v>
      </c>
      <c r="B64" s="1">
        <v>-50793000</v>
      </c>
      <c r="C64" s="1">
        <v>-136652000</v>
      </c>
      <c r="D64" s="1">
        <v>-270434000</v>
      </c>
      <c r="E64" s="1">
        <v>-404151000</v>
      </c>
    </row>
    <row r="65" spans="1:5" ht="19" x14ac:dyDescent="0.25">
      <c r="A65" s="5" t="s">
        <v>56</v>
      </c>
      <c r="B65" s="1">
        <v>219000</v>
      </c>
      <c r="C65" s="1">
        <v>276000</v>
      </c>
      <c r="D65" s="1">
        <v>4309000</v>
      </c>
      <c r="E65" s="1">
        <v>4409000</v>
      </c>
    </row>
    <row r="66" spans="1:5" ht="19" x14ac:dyDescent="0.25">
      <c r="A66" s="5" t="s">
        <v>57</v>
      </c>
      <c r="B66" s="1" t="s">
        <v>92</v>
      </c>
      <c r="C66" s="1" t="s">
        <v>92</v>
      </c>
      <c r="D66" s="1" t="s">
        <v>92</v>
      </c>
      <c r="E66" s="1" t="s">
        <v>92</v>
      </c>
    </row>
    <row r="67" spans="1:5" ht="19" x14ac:dyDescent="0.25">
      <c r="A67" s="6" t="s">
        <v>58</v>
      </c>
      <c r="B67" s="10">
        <v>55067000</v>
      </c>
      <c r="C67" s="10">
        <v>155419000</v>
      </c>
      <c r="D67" s="10">
        <v>302707000</v>
      </c>
      <c r="E67" s="10">
        <v>426681000</v>
      </c>
    </row>
    <row r="68" spans="1:5" ht="19" x14ac:dyDescent="0.25">
      <c r="A68" s="5" t="s">
        <v>59</v>
      </c>
      <c r="B68" s="1">
        <v>602000</v>
      </c>
      <c r="C68" s="1">
        <v>602000</v>
      </c>
      <c r="D68" s="1">
        <v>590000</v>
      </c>
      <c r="E68" s="1">
        <v>592000</v>
      </c>
    </row>
    <row r="69" spans="1:5" ht="19" x14ac:dyDescent="0.25">
      <c r="A69" s="5" t="s">
        <v>60</v>
      </c>
      <c r="B69" s="1">
        <v>18460000</v>
      </c>
      <c r="C69" s="1">
        <v>31749000</v>
      </c>
      <c r="D69" s="1">
        <v>109867000</v>
      </c>
      <c r="E69" s="1">
        <v>219993000</v>
      </c>
    </row>
    <row r="70" spans="1:5" ht="19" x14ac:dyDescent="0.25">
      <c r="A70" s="5" t="s">
        <v>61</v>
      </c>
      <c r="B70" s="1">
        <v>5301000</v>
      </c>
      <c r="C70" s="1">
        <v>12701000</v>
      </c>
      <c r="D70" s="1">
        <v>12711000</v>
      </c>
      <c r="E70" s="1">
        <v>14737000</v>
      </c>
    </row>
    <row r="71" spans="1:5" ht="19" x14ac:dyDescent="0.25">
      <c r="A71" s="5" t="s">
        <v>62</v>
      </c>
      <c r="B71" s="1" t="s">
        <v>92</v>
      </c>
      <c r="C71" s="1" t="s">
        <v>92</v>
      </c>
      <c r="D71" s="1">
        <v>157151000</v>
      </c>
      <c r="E71" s="1">
        <v>164307000</v>
      </c>
    </row>
    <row r="72" spans="1:5" ht="19" x14ac:dyDescent="0.25">
      <c r="A72" s="6" t="s">
        <v>63</v>
      </c>
      <c r="B72" s="10">
        <v>24363000</v>
      </c>
      <c r="C72" s="10">
        <v>45052000</v>
      </c>
      <c r="D72" s="10">
        <v>280319000</v>
      </c>
      <c r="E72" s="10">
        <v>399629000</v>
      </c>
    </row>
    <row r="73" spans="1:5" ht="20" thickBot="1" x14ac:dyDescent="0.3">
      <c r="A73" s="7" t="s">
        <v>64</v>
      </c>
      <c r="B73" s="11">
        <v>79596000</v>
      </c>
      <c r="C73" s="11">
        <v>200467000</v>
      </c>
      <c r="D73" s="11">
        <v>583026000</v>
      </c>
      <c r="E73" s="11">
        <v>826301000</v>
      </c>
    </row>
    <row r="74" spans="1:5" ht="20" thickTop="1" x14ac:dyDescent="0.25">
      <c r="A74" s="5" t="s">
        <v>28</v>
      </c>
      <c r="B74" s="13" t="s">
        <v>91</v>
      </c>
      <c r="C74" s="13" t="s">
        <v>91</v>
      </c>
      <c r="D74" s="13" t="s">
        <v>91</v>
      </c>
      <c r="E74" s="13" t="s">
        <v>91</v>
      </c>
    </row>
    <row r="75" spans="1:5" ht="21" x14ac:dyDescent="0.25">
      <c r="A75" s="4" t="s">
        <v>65</v>
      </c>
      <c r="B75" s="9" t="s">
        <v>90</v>
      </c>
      <c r="C75" s="9" t="s">
        <v>90</v>
      </c>
      <c r="D75" s="9" t="s">
        <v>90</v>
      </c>
      <c r="E75" s="9" t="s">
        <v>90</v>
      </c>
    </row>
    <row r="76" spans="1:5" ht="19" x14ac:dyDescent="0.25">
      <c r="A76" s="5" t="s">
        <v>66</v>
      </c>
      <c r="B76" s="1">
        <v>17823000</v>
      </c>
      <c r="C76" s="1">
        <v>31418000</v>
      </c>
      <c r="D76" s="1">
        <v>85500000</v>
      </c>
      <c r="E76" s="1">
        <v>120283000</v>
      </c>
    </row>
    <row r="77" spans="1:5" ht="19" x14ac:dyDescent="0.25">
      <c r="A77" s="5" t="s">
        <v>13</v>
      </c>
      <c r="B77" s="1">
        <v>409000</v>
      </c>
      <c r="C77" s="1">
        <v>992000</v>
      </c>
      <c r="D77" s="1">
        <v>4747000</v>
      </c>
      <c r="E77" s="1">
        <v>8147000</v>
      </c>
    </row>
    <row r="78" spans="1:5" ht="19" x14ac:dyDescent="0.25">
      <c r="A78" s="5" t="s">
        <v>67</v>
      </c>
      <c r="B78" s="1" t="s">
        <v>92</v>
      </c>
      <c r="C78" s="1" t="s">
        <v>92</v>
      </c>
      <c r="D78" s="1" t="s">
        <v>92</v>
      </c>
      <c r="E78" s="1" t="s">
        <v>92</v>
      </c>
    </row>
    <row r="79" spans="1:5" ht="19" x14ac:dyDescent="0.25">
      <c r="A79" s="5" t="s">
        <v>68</v>
      </c>
      <c r="B79" s="1">
        <v>5049000</v>
      </c>
      <c r="C79" s="1">
        <v>7295000</v>
      </c>
      <c r="D79" s="1">
        <v>7590000</v>
      </c>
      <c r="E79" s="1">
        <v>8684000</v>
      </c>
    </row>
    <row r="80" spans="1:5" ht="19" x14ac:dyDescent="0.25">
      <c r="A80" s="16" t="s">
        <v>100</v>
      </c>
      <c r="B80" s="17">
        <f t="shared" ref="B80:D80" si="22">B79/B3</f>
        <v>9.1320154099368778E-2</v>
      </c>
      <c r="C80" s="17">
        <f t="shared" si="22"/>
        <v>7.0047914886262164E-2</v>
      </c>
      <c r="D80" s="17">
        <f t="shared" si="22"/>
        <v>3.109126659020154E-2</v>
      </c>
      <c r="E80" s="17">
        <f t="shared" ref="E80" si="23">E79/E3</f>
        <v>2.0729247478665631E-2</v>
      </c>
    </row>
    <row r="81" spans="1:13" ht="19" x14ac:dyDescent="0.25">
      <c r="A81" s="5" t="s">
        <v>69</v>
      </c>
      <c r="B81" s="1">
        <v>8700000</v>
      </c>
      <c r="C81" s="1">
        <v>49314000</v>
      </c>
      <c r="D81" s="1">
        <v>25147000</v>
      </c>
      <c r="E81" s="1">
        <v>20779000</v>
      </c>
    </row>
    <row r="82" spans="1:13" ht="19" x14ac:dyDescent="0.25">
      <c r="A82" s="5" t="s">
        <v>70</v>
      </c>
      <c r="B82" s="1">
        <v>-10968000</v>
      </c>
      <c r="C82" s="1">
        <v>-45932000</v>
      </c>
      <c r="D82" s="1" t="s">
        <v>92</v>
      </c>
      <c r="E82" s="1" t="s">
        <v>92</v>
      </c>
    </row>
    <row r="83" spans="1:13" ht="19" x14ac:dyDescent="0.25">
      <c r="A83" s="5" t="s">
        <v>34</v>
      </c>
      <c r="B83" s="1" t="s">
        <v>92</v>
      </c>
      <c r="C83" s="1" t="s">
        <v>92</v>
      </c>
      <c r="D83" s="1" t="s">
        <v>92</v>
      </c>
      <c r="E83" s="1" t="s">
        <v>92</v>
      </c>
    </row>
    <row r="84" spans="1:13" ht="19" customHeight="1" x14ac:dyDescent="0.25">
      <c r="A84" s="5" t="s">
        <v>47</v>
      </c>
      <c r="B84" s="1">
        <v>20284000</v>
      </c>
      <c r="C84" s="1">
        <v>89888000</v>
      </c>
      <c r="D84" s="1">
        <v>134295000</v>
      </c>
      <c r="E84" s="1">
        <v>130714000</v>
      </c>
      <c r="F84" s="55"/>
      <c r="G84" s="55"/>
      <c r="H84" s="55"/>
      <c r="I84" s="55"/>
      <c r="J84" s="55"/>
      <c r="K84" s="55"/>
      <c r="L84" s="74" t="s">
        <v>127</v>
      </c>
      <c r="M84" s="75"/>
    </row>
    <row r="85" spans="1:13" ht="19" customHeight="1" x14ac:dyDescent="0.25">
      <c r="A85" s="5" t="s">
        <v>71</v>
      </c>
      <c r="B85" s="1">
        <v>-616000</v>
      </c>
      <c r="C85" s="1">
        <v>5358000</v>
      </c>
      <c r="D85" s="1">
        <v>-109148000</v>
      </c>
      <c r="E85" s="1">
        <v>-109935000</v>
      </c>
      <c r="F85" s="55"/>
      <c r="G85" s="55"/>
      <c r="H85" s="55"/>
      <c r="I85" s="55"/>
      <c r="J85" s="55"/>
      <c r="K85" s="55"/>
      <c r="L85" s="76" t="s">
        <v>128</v>
      </c>
      <c r="M85" s="76"/>
    </row>
    <row r="86" spans="1:13" ht="20" x14ac:dyDescent="0.25">
      <c r="A86" s="5" t="s">
        <v>72</v>
      </c>
      <c r="B86" s="1">
        <v>-1258000</v>
      </c>
      <c r="C86" s="1">
        <v>-533000</v>
      </c>
      <c r="D86" s="1">
        <v>-14498000</v>
      </c>
      <c r="E86" s="1">
        <v>-3442000</v>
      </c>
      <c r="F86" s="55"/>
      <c r="G86" s="55"/>
      <c r="H86" s="55"/>
      <c r="I86" s="55"/>
      <c r="J86" s="55"/>
      <c r="K86" s="55"/>
      <c r="L86" s="34" t="s">
        <v>129</v>
      </c>
      <c r="M86" s="56">
        <f>E17</f>
        <v>24668000</v>
      </c>
    </row>
    <row r="87" spans="1:13" ht="20" x14ac:dyDescent="0.25">
      <c r="A87" s="6" t="s">
        <v>73</v>
      </c>
      <c r="B87" s="10">
        <v>30723000</v>
      </c>
      <c r="C87" s="10">
        <v>88486000</v>
      </c>
      <c r="D87" s="10">
        <v>108486000</v>
      </c>
      <c r="E87" s="10">
        <v>154451000</v>
      </c>
      <c r="F87" s="55"/>
      <c r="G87" s="55"/>
      <c r="H87" s="55"/>
      <c r="I87" s="55"/>
      <c r="J87" s="55"/>
      <c r="K87" s="55"/>
      <c r="L87" s="34" t="s">
        <v>130</v>
      </c>
      <c r="M87" s="56">
        <f>E56</f>
        <v>686000</v>
      </c>
    </row>
    <row r="88" spans="1:13" ht="20" x14ac:dyDescent="0.25">
      <c r="A88" s="5" t="s">
        <v>74</v>
      </c>
      <c r="B88" s="1">
        <v>-1706000</v>
      </c>
      <c r="C88" s="1">
        <v>-3882000</v>
      </c>
      <c r="D88" s="1">
        <v>-48017000</v>
      </c>
      <c r="E88" s="1">
        <v>-12352000</v>
      </c>
      <c r="F88" s="55"/>
      <c r="G88" s="55"/>
      <c r="H88" s="55"/>
      <c r="I88" s="55"/>
      <c r="J88" s="55"/>
      <c r="K88" s="55"/>
      <c r="L88" s="34" t="s">
        <v>131</v>
      </c>
      <c r="M88" s="56">
        <f>E61</f>
        <v>3393000</v>
      </c>
    </row>
    <row r="89" spans="1:13" ht="20" x14ac:dyDescent="0.25">
      <c r="A89" s="16" t="s">
        <v>101</v>
      </c>
      <c r="B89" s="17">
        <f t="shared" ref="B89:D89" si="24">(-1*B88)/B3</f>
        <v>3.0856047315017454E-2</v>
      </c>
      <c r="C89" s="17">
        <f t="shared" si="24"/>
        <v>3.727566903200407E-2</v>
      </c>
      <c r="D89" s="17">
        <f t="shared" si="24"/>
        <v>0.19669424873013272</v>
      </c>
      <c r="E89" s="17">
        <f>(-1*E88)/E3</f>
        <v>2.9484991346899803E-2</v>
      </c>
      <c r="F89" s="55"/>
      <c r="G89" s="55"/>
      <c r="H89" s="55"/>
      <c r="I89" s="55"/>
      <c r="J89" s="55"/>
      <c r="K89" s="55"/>
      <c r="L89" s="35" t="s">
        <v>132</v>
      </c>
      <c r="M89" s="57">
        <f>M86/(M87+M88)</f>
        <v>6.0475606766364303</v>
      </c>
    </row>
    <row r="90" spans="1:13" ht="20" x14ac:dyDescent="0.25">
      <c r="A90" s="5" t="s">
        <v>75</v>
      </c>
      <c r="B90" s="1" t="s">
        <v>92</v>
      </c>
      <c r="C90" s="1" t="s">
        <v>92</v>
      </c>
      <c r="D90" s="1" t="s">
        <v>92</v>
      </c>
      <c r="E90" s="1" t="s">
        <v>92</v>
      </c>
      <c r="F90" s="55"/>
      <c r="G90" s="55"/>
      <c r="H90" s="55"/>
      <c r="I90" s="55"/>
      <c r="J90" s="55"/>
      <c r="K90" s="55"/>
      <c r="L90" s="34" t="s">
        <v>133</v>
      </c>
      <c r="M90" s="56">
        <f>E27</f>
        <v>11586000</v>
      </c>
    </row>
    <row r="91" spans="1:13" ht="20" x14ac:dyDescent="0.25">
      <c r="A91" s="5" t="s">
        <v>76</v>
      </c>
      <c r="B91" s="1" t="s">
        <v>92</v>
      </c>
      <c r="C91" s="1" t="s">
        <v>92</v>
      </c>
      <c r="D91" s="1" t="s">
        <v>92</v>
      </c>
      <c r="E91" s="1" t="s">
        <v>92</v>
      </c>
      <c r="F91" s="55"/>
      <c r="G91" s="55"/>
      <c r="H91" s="55"/>
      <c r="I91" s="55"/>
      <c r="J91" s="55"/>
      <c r="K91" s="55"/>
      <c r="L91" s="34" t="s">
        <v>19</v>
      </c>
      <c r="M91" s="56">
        <f>E25</f>
        <v>120283000</v>
      </c>
    </row>
    <row r="92" spans="1:13" ht="20" x14ac:dyDescent="0.25">
      <c r="A92" s="5" t="s">
        <v>77</v>
      </c>
      <c r="B92" s="1">
        <v>1601000</v>
      </c>
      <c r="C92" s="1">
        <v>7089000</v>
      </c>
      <c r="D92" s="1">
        <v>7520000</v>
      </c>
      <c r="E92" s="1" t="s">
        <v>92</v>
      </c>
      <c r="F92" s="55"/>
      <c r="G92" s="55"/>
      <c r="H92" s="55"/>
      <c r="I92" s="55"/>
      <c r="J92" s="55"/>
      <c r="K92" s="55"/>
      <c r="L92" s="35" t="s">
        <v>134</v>
      </c>
      <c r="M92" s="57">
        <f>M90/M91</f>
        <v>9.6322838638876654E-2</v>
      </c>
    </row>
    <row r="93" spans="1:13" ht="19" customHeight="1" x14ac:dyDescent="0.25">
      <c r="A93" s="5" t="s">
        <v>78</v>
      </c>
      <c r="B93" s="1">
        <v>-1331000</v>
      </c>
      <c r="C93" s="1">
        <v>-2563000</v>
      </c>
      <c r="D93" s="1">
        <v>-43512000</v>
      </c>
      <c r="E93" s="1">
        <v>5292000</v>
      </c>
      <c r="F93" s="55"/>
      <c r="G93" s="55"/>
      <c r="H93" s="55"/>
      <c r="I93" s="55"/>
      <c r="J93" s="55"/>
      <c r="K93" s="55"/>
      <c r="L93" s="35" t="s">
        <v>135</v>
      </c>
      <c r="M93" s="57">
        <f>M89*(1-M92)</f>
        <v>5.4650424654219636</v>
      </c>
    </row>
    <row r="94" spans="1:13" ht="19" customHeight="1" x14ac:dyDescent="0.25">
      <c r="A94" s="6" t="s">
        <v>79</v>
      </c>
      <c r="B94" s="10">
        <v>118000</v>
      </c>
      <c r="C94" s="10">
        <v>3650000</v>
      </c>
      <c r="D94" s="10">
        <v>-37941000</v>
      </c>
      <c r="E94" s="10">
        <v>4305000</v>
      </c>
      <c r="F94" s="55"/>
      <c r="G94" s="55"/>
      <c r="H94" s="55"/>
      <c r="I94" s="55"/>
      <c r="J94" s="55"/>
      <c r="K94" s="55"/>
      <c r="L94" s="76" t="s">
        <v>136</v>
      </c>
      <c r="M94" s="76"/>
    </row>
    <row r="95" spans="1:13" ht="20" x14ac:dyDescent="0.25">
      <c r="A95" s="5" t="s">
        <v>80</v>
      </c>
      <c r="B95" s="1">
        <v>-9326000</v>
      </c>
      <c r="C95" s="1">
        <v>-131000</v>
      </c>
      <c r="D95" s="1">
        <v>-430000</v>
      </c>
      <c r="E95" s="1">
        <v>-20353000</v>
      </c>
      <c r="F95" s="55"/>
      <c r="G95" s="55"/>
      <c r="H95" s="55"/>
      <c r="I95" s="55"/>
      <c r="J95" s="55"/>
      <c r="K95" s="55"/>
      <c r="L95" s="34" t="s">
        <v>137</v>
      </c>
      <c r="M95" s="58">
        <f>'[1]US Treasury Bonds'!$C$8</f>
        <v>4.845E-2</v>
      </c>
    </row>
    <row r="96" spans="1:13" ht="20" x14ac:dyDescent="0.25">
      <c r="A96" s="5" t="s">
        <v>81</v>
      </c>
      <c r="B96" s="1">
        <v>14000</v>
      </c>
      <c r="C96" s="1" t="s">
        <v>92</v>
      </c>
      <c r="D96" s="1">
        <v>150265000</v>
      </c>
      <c r="E96" s="1" t="s">
        <v>92</v>
      </c>
      <c r="F96" s="55"/>
      <c r="G96" s="55"/>
      <c r="H96" s="55"/>
      <c r="I96" s="55"/>
      <c r="J96" s="55"/>
      <c r="K96" s="55"/>
      <c r="L96" s="36" t="s">
        <v>138</v>
      </c>
      <c r="M96" s="59" cm="1">
        <f t="array" ref="M96">_FV(A1,"Beta")</f>
        <v>2.1160000000000001</v>
      </c>
    </row>
    <row r="97" spans="1:13" ht="20" x14ac:dyDescent="0.25">
      <c r="A97" s="5" t="s">
        <v>82</v>
      </c>
      <c r="B97" s="1" t="s">
        <v>92</v>
      </c>
      <c r="C97" s="1" t="s">
        <v>92</v>
      </c>
      <c r="D97" s="1" t="s">
        <v>92</v>
      </c>
      <c r="E97" s="1">
        <v>-2021000</v>
      </c>
      <c r="F97" s="55"/>
      <c r="G97" s="55"/>
      <c r="H97" s="55"/>
      <c r="I97" s="55"/>
      <c r="J97" s="55"/>
      <c r="K97" s="55"/>
      <c r="L97" s="34" t="s">
        <v>139</v>
      </c>
      <c r="M97" s="60">
        <v>8.4000000000000005E-2</v>
      </c>
    </row>
    <row r="98" spans="1:13" ht="19" customHeight="1" x14ac:dyDescent="0.25">
      <c r="A98" s="5" t="s">
        <v>83</v>
      </c>
      <c r="B98" s="1">
        <v>-10000000</v>
      </c>
      <c r="C98" s="1">
        <v>-15000000</v>
      </c>
      <c r="D98" s="1" t="s">
        <v>92</v>
      </c>
      <c r="E98" s="1">
        <v>0</v>
      </c>
      <c r="F98" s="55"/>
      <c r="G98" s="55"/>
      <c r="H98" s="55"/>
      <c r="I98" s="55"/>
      <c r="J98" s="55"/>
      <c r="K98" s="55"/>
      <c r="L98" s="35" t="s">
        <v>140</v>
      </c>
      <c r="M98" s="57">
        <f>(M95)+((M96)*(M97-M95))</f>
        <v>0.12367380000000003</v>
      </c>
    </row>
    <row r="99" spans="1:13" ht="19" customHeight="1" x14ac:dyDescent="0.25">
      <c r="A99" s="5" t="s">
        <v>84</v>
      </c>
      <c r="B99" s="1">
        <v>-30000</v>
      </c>
      <c r="C99" s="1">
        <v>-67000</v>
      </c>
      <c r="D99" s="1">
        <v>3913000</v>
      </c>
      <c r="E99" s="1">
        <v>-4953000</v>
      </c>
      <c r="F99" s="55"/>
      <c r="G99" s="55"/>
      <c r="H99" s="55"/>
      <c r="I99" s="55"/>
      <c r="J99" s="55"/>
      <c r="K99" s="55"/>
      <c r="L99" s="76" t="s">
        <v>141</v>
      </c>
      <c r="M99" s="76"/>
    </row>
    <row r="100" spans="1:13" ht="20" x14ac:dyDescent="0.25">
      <c r="A100" s="6" t="s">
        <v>85</v>
      </c>
      <c r="B100" s="10">
        <v>-19342000</v>
      </c>
      <c r="C100" s="10">
        <v>-15198000</v>
      </c>
      <c r="D100" s="10">
        <v>153748000</v>
      </c>
      <c r="E100" s="10">
        <v>-27327000</v>
      </c>
      <c r="F100" s="55"/>
      <c r="G100" s="55"/>
      <c r="H100" s="55"/>
      <c r="I100" s="55"/>
      <c r="J100" s="55"/>
      <c r="K100" s="55"/>
      <c r="L100" s="34" t="s">
        <v>142</v>
      </c>
      <c r="M100" s="56">
        <f>M87+M88</f>
        <v>4079000</v>
      </c>
    </row>
    <row r="101" spans="1:13" ht="20" x14ac:dyDescent="0.25">
      <c r="A101" s="5" t="s">
        <v>86</v>
      </c>
      <c r="B101" s="1">
        <v>-39000</v>
      </c>
      <c r="C101" s="1">
        <v>30000</v>
      </c>
      <c r="D101" s="1">
        <v>171000</v>
      </c>
      <c r="E101" s="1">
        <v>466000</v>
      </c>
      <c r="F101" s="55"/>
      <c r="G101" s="55"/>
      <c r="H101" s="55"/>
      <c r="I101" s="55"/>
      <c r="J101" s="55"/>
      <c r="K101" s="55"/>
      <c r="L101" s="35" t="s">
        <v>143</v>
      </c>
      <c r="M101" s="57">
        <f>M100/M104</f>
        <v>8.2650321665569124E-4</v>
      </c>
    </row>
    <row r="102" spans="1:13" ht="20" x14ac:dyDescent="0.25">
      <c r="A102" s="6" t="s">
        <v>87</v>
      </c>
      <c r="B102" s="10">
        <v>11460000</v>
      </c>
      <c r="C102" s="10">
        <v>76968000</v>
      </c>
      <c r="D102" s="10">
        <v>224464000</v>
      </c>
      <c r="E102" s="10">
        <v>131895000</v>
      </c>
      <c r="F102" s="55"/>
      <c r="G102" s="55"/>
      <c r="H102" s="55"/>
      <c r="I102" s="55"/>
      <c r="J102" s="55"/>
      <c r="K102" s="55"/>
      <c r="L102" s="36" t="s">
        <v>144</v>
      </c>
      <c r="M102" s="61" cm="1">
        <f t="array" ref="M102">_FV(A1,"Market cap",TRUE)</f>
        <v>4931171000</v>
      </c>
    </row>
    <row r="103" spans="1:13" ht="20" x14ac:dyDescent="0.25">
      <c r="A103" s="5" t="s">
        <v>88</v>
      </c>
      <c r="B103" s="1">
        <v>23305000</v>
      </c>
      <c r="C103" s="1">
        <v>34765000</v>
      </c>
      <c r="D103" s="1">
        <v>111733000</v>
      </c>
      <c r="E103" s="1">
        <v>336197000</v>
      </c>
      <c r="F103" s="55"/>
      <c r="G103" s="55"/>
      <c r="H103" s="55"/>
      <c r="I103" s="55"/>
      <c r="J103" s="55"/>
      <c r="K103" s="55"/>
      <c r="L103" s="35" t="s">
        <v>145</v>
      </c>
      <c r="M103" s="57">
        <f>M102/M104</f>
        <v>0.99917349678334433</v>
      </c>
    </row>
    <row r="104" spans="1:13" ht="20" customHeight="1" thickBot="1" x14ac:dyDescent="0.3">
      <c r="A104" s="7" t="s">
        <v>89</v>
      </c>
      <c r="B104" s="11">
        <v>34765000</v>
      </c>
      <c r="C104" s="11">
        <v>111733000</v>
      </c>
      <c r="D104" s="11">
        <v>336197000</v>
      </c>
      <c r="E104" s="11">
        <v>468092000</v>
      </c>
      <c r="F104" s="78" t="s">
        <v>111</v>
      </c>
      <c r="G104" s="78"/>
      <c r="H104" s="78"/>
      <c r="I104" s="78"/>
      <c r="J104" s="78"/>
      <c r="K104" s="53"/>
      <c r="L104" s="35" t="s">
        <v>146</v>
      </c>
      <c r="M104" s="62">
        <f>M100+M102</f>
        <v>4935250000</v>
      </c>
    </row>
    <row r="105" spans="1:13" ht="21" customHeight="1" thickTop="1" x14ac:dyDescent="0.25">
      <c r="A105" s="16" t="s">
        <v>102</v>
      </c>
      <c r="B105" s="1">
        <f>(B22*(1-$M$92))+B77+B88+B81</f>
        <v>23275185.662146769</v>
      </c>
      <c r="C105" s="1">
        <f>(C22*(1-$M$92))+C77+C88+C81</f>
        <v>74388289.758319959</v>
      </c>
      <c r="D105" s="1">
        <f>(D22*(1-$M$92))+D77+D88+D81</f>
        <v>57639485.854193851</v>
      </c>
      <c r="E105" s="1">
        <f>(E22*(1-$M$92))+E77+E88+E81</f>
        <v>132163345.70970128</v>
      </c>
      <c r="F105" s="52">
        <f>F107/F3</f>
        <v>0.42496050552922593</v>
      </c>
      <c r="G105" s="52">
        <f>G107/G3</f>
        <v>0.4</v>
      </c>
      <c r="H105" s="52">
        <f>H107/H3</f>
        <v>0.36920384951881013</v>
      </c>
      <c r="I105" s="52">
        <f>I107/I3</f>
        <v>0.41530880420499344</v>
      </c>
      <c r="J105" s="52">
        <f>J107/J3</f>
        <v>0.42528735632183906</v>
      </c>
      <c r="K105" s="73" t="s">
        <v>165</v>
      </c>
      <c r="L105" s="76" t="s">
        <v>147</v>
      </c>
      <c r="M105" s="76"/>
    </row>
    <row r="106" spans="1:13" ht="20" x14ac:dyDescent="0.25">
      <c r="A106" s="16" t="s">
        <v>103</v>
      </c>
      <c r="B106" s="17" t="e">
        <f t="shared" ref="B106" si="25">(B107/A107)-1</f>
        <v>#VALUE!</v>
      </c>
      <c r="C106" s="17">
        <f t="shared" ref="C106" si="26">(C107/B107)-1</f>
        <v>1.9156701244098286</v>
      </c>
      <c r="D106" s="17">
        <f t="shared" ref="D106" si="27">(D107/C107)-1</f>
        <v>-0.28527019999054415</v>
      </c>
      <c r="E106" s="17">
        <f t="shared" ref="E106" si="28">(E107/D107)-1</f>
        <v>1.349947907192115</v>
      </c>
      <c r="F106" s="46">
        <f>(F107/E105)-1</f>
        <v>1.0353600959139038</v>
      </c>
      <c r="G106" s="46">
        <f>(G107/F107)-1</f>
        <v>0.30855018587360594</v>
      </c>
      <c r="H106" s="46">
        <f>(H107/G107)-1</f>
        <v>0.19886363636363646</v>
      </c>
      <c r="I106" s="46">
        <f>(I107/H107)-1</f>
        <v>0.49786729857819911</v>
      </c>
      <c r="J106" s="46">
        <f>(J107/I107)-1</f>
        <v>0.22923588039867115</v>
      </c>
      <c r="K106" s="47">
        <f>SUM(F106:J106)/5</f>
        <v>0.45397541942560338</v>
      </c>
      <c r="L106" s="37" t="s">
        <v>148</v>
      </c>
      <c r="M106" s="63">
        <f>(M101*M93)+(M103*M98)</f>
        <v>0.1280884583833152</v>
      </c>
    </row>
    <row r="107" spans="1:13" ht="19" x14ac:dyDescent="0.25">
      <c r="A107" s="14" t="s">
        <v>93</v>
      </c>
      <c r="B107" s="1">
        <v>29017000</v>
      </c>
      <c r="C107" s="1">
        <v>84604000</v>
      </c>
      <c r="D107" s="1">
        <v>60469000</v>
      </c>
      <c r="E107" s="1">
        <v>142099000</v>
      </c>
      <c r="F107" s="48">
        <v>269000000</v>
      </c>
      <c r="G107" s="48">
        <v>352000000</v>
      </c>
      <c r="H107" s="48">
        <v>422000000</v>
      </c>
      <c r="I107" s="48">
        <v>632100000</v>
      </c>
      <c r="J107" s="48">
        <v>777000000</v>
      </c>
      <c r="K107" s="45" t="s">
        <v>149</v>
      </c>
      <c r="L107" s="64" t="s">
        <v>150</v>
      </c>
      <c r="M107" s="38">
        <f>(SUM(F4:J4)/5)</f>
        <v>0.34641142036907441</v>
      </c>
    </row>
    <row r="108" spans="1:13" ht="19" x14ac:dyDescent="0.25">
      <c r="A108" s="5"/>
      <c r="B108" s="13"/>
      <c r="C108" s="13"/>
      <c r="D108" s="13"/>
      <c r="E108" s="13"/>
      <c r="F108" s="54"/>
      <c r="G108" s="54"/>
      <c r="H108" s="54"/>
      <c r="I108" s="54"/>
      <c r="J108" s="49">
        <f>J107*(1+M108)/(M109-M108)</f>
        <v>7725646619.3202934</v>
      </c>
      <c r="K108" s="50" t="s">
        <v>151</v>
      </c>
      <c r="L108" s="65" t="s">
        <v>152</v>
      </c>
      <c r="M108" s="39">
        <v>2.5000000000000001E-2</v>
      </c>
    </row>
    <row r="109" spans="1:13" ht="19" x14ac:dyDescent="0.2">
      <c r="F109" s="49">
        <f t="shared" ref="F109:I109" si="29">F108+F107</f>
        <v>269000000</v>
      </c>
      <c r="G109" s="49">
        <f t="shared" si="29"/>
        <v>352000000</v>
      </c>
      <c r="H109" s="49">
        <f t="shared" si="29"/>
        <v>422000000</v>
      </c>
      <c r="I109" s="49">
        <f t="shared" si="29"/>
        <v>632100000</v>
      </c>
      <c r="J109" s="49">
        <f>J108+J107</f>
        <v>8502646619.3202934</v>
      </c>
      <c r="K109" s="50" t="s">
        <v>146</v>
      </c>
      <c r="L109" s="66" t="s">
        <v>153</v>
      </c>
      <c r="M109" s="38">
        <f>M106</f>
        <v>0.1280884583833152</v>
      </c>
    </row>
    <row r="110" spans="1:13" ht="19" x14ac:dyDescent="0.2">
      <c r="F110" s="77" t="s">
        <v>154</v>
      </c>
      <c r="G110" s="77"/>
      <c r="H110" s="55"/>
      <c r="I110" s="55"/>
      <c r="J110" s="55"/>
      <c r="K110" s="55"/>
      <c r="L110" s="55"/>
      <c r="M110" s="55"/>
    </row>
    <row r="111" spans="1:13" ht="20" x14ac:dyDescent="0.2">
      <c r="F111" s="67" t="s">
        <v>155</v>
      </c>
      <c r="G111" s="61">
        <f>NPV(M109,F109,G109,H109,I109,J109)</f>
        <v>5853457001.0621881</v>
      </c>
      <c r="H111" s="55"/>
      <c r="I111" s="55"/>
      <c r="J111" s="55"/>
      <c r="K111" s="55"/>
      <c r="L111" s="55"/>
      <c r="M111" s="55"/>
    </row>
    <row r="112" spans="1:13" ht="20" x14ac:dyDescent="0.2">
      <c r="F112" s="67" t="s">
        <v>156</v>
      </c>
      <c r="G112" s="61">
        <f>E40</f>
        <v>469387000</v>
      </c>
      <c r="H112" s="55"/>
      <c r="I112" s="55"/>
      <c r="J112" s="55"/>
      <c r="K112" s="55"/>
      <c r="L112" s="55"/>
      <c r="M112" s="55"/>
    </row>
    <row r="113" spans="6:13" ht="20" x14ac:dyDescent="0.2">
      <c r="F113" s="67" t="s">
        <v>142</v>
      </c>
      <c r="G113" s="61">
        <f>M100</f>
        <v>4079000</v>
      </c>
      <c r="H113" s="55"/>
      <c r="I113" s="55"/>
      <c r="J113" s="55"/>
      <c r="K113" s="55"/>
      <c r="L113" s="55"/>
      <c r="M113" s="55"/>
    </row>
    <row r="114" spans="6:13" ht="20" x14ac:dyDescent="0.2">
      <c r="F114" s="67" t="s">
        <v>157</v>
      </c>
      <c r="G114" s="61">
        <f>G111+G112-G113</f>
        <v>6318765001.0621881</v>
      </c>
      <c r="H114" s="55"/>
      <c r="I114" s="55"/>
      <c r="J114" s="55"/>
      <c r="K114" s="55"/>
      <c r="L114" s="55"/>
      <c r="M114" s="55"/>
    </row>
    <row r="115" spans="6:13" ht="20" x14ac:dyDescent="0.2">
      <c r="F115" s="67" t="s">
        <v>162</v>
      </c>
      <c r="G115" s="67">
        <f>E34*(1+(K16*5))</f>
        <v>310395417.24822307</v>
      </c>
      <c r="H115" s="55"/>
      <c r="I115" s="55"/>
      <c r="J115" s="55"/>
      <c r="K115" s="55"/>
      <c r="L115" s="55"/>
      <c r="M115" s="55"/>
    </row>
    <row r="116" spans="6:13" ht="20" x14ac:dyDescent="0.2">
      <c r="F116" s="68" t="s">
        <v>158</v>
      </c>
      <c r="G116" s="69">
        <f>G114/G115</f>
        <v>20.357146561893583</v>
      </c>
      <c r="H116" s="55"/>
      <c r="I116" s="55"/>
      <c r="J116" s="55"/>
      <c r="K116" s="55"/>
      <c r="L116" s="55"/>
      <c r="M116" s="55"/>
    </row>
    <row r="117" spans="6:13" ht="20" x14ac:dyDescent="0.2">
      <c r="F117" s="67" t="s">
        <v>159</v>
      </c>
      <c r="G117" s="70" cm="1">
        <f t="array" ref="G117">_FV(A1,"Price")</f>
        <v>17.03</v>
      </c>
      <c r="H117" s="55"/>
      <c r="I117" s="55"/>
      <c r="J117" s="55"/>
      <c r="K117" s="55"/>
      <c r="L117" s="55"/>
      <c r="M117" s="55"/>
    </row>
    <row r="118" spans="6:13" ht="20" x14ac:dyDescent="0.2">
      <c r="F118" s="68" t="s">
        <v>160</v>
      </c>
      <c r="G118" s="71">
        <f>G116/G117-1</f>
        <v>0.1953697335228175</v>
      </c>
      <c r="H118" s="55"/>
      <c r="I118" s="55"/>
      <c r="J118" s="55"/>
      <c r="K118" s="55"/>
      <c r="L118" s="55"/>
      <c r="M118" s="55"/>
    </row>
    <row r="119" spans="6:13" ht="20" x14ac:dyDescent="0.2">
      <c r="F119" s="68" t="s">
        <v>161</v>
      </c>
      <c r="G119" s="72" t="str">
        <f>IF(G116&gt;G117,"BUY","SELL")</f>
        <v>BUY</v>
      </c>
      <c r="H119" s="55"/>
      <c r="I119" s="55"/>
      <c r="J119" s="55"/>
      <c r="K119" s="55"/>
      <c r="L119" s="55"/>
      <c r="M119" s="55"/>
    </row>
  </sheetData>
  <mergeCells count="7">
    <mergeCell ref="L84:M84"/>
    <mergeCell ref="L85:M85"/>
    <mergeCell ref="F110:G110"/>
    <mergeCell ref="L105:M105"/>
    <mergeCell ref="L99:M99"/>
    <mergeCell ref="L94:M94"/>
    <mergeCell ref="F104:J104"/>
  </mergeCells>
  <hyperlinks>
    <hyperlink ref="F1" r:id="rId1" display="https://finbox.com/NASDAQGS:DLO/explorer/revenue_proj" xr:uid="{ABA24D10-0CEB-8B4F-8BE7-F2BA3D5A8154}"/>
    <hyperlink ref="K107" r:id="rId2" xr:uid="{39C22233-C3A6-454C-AB04-481E7AF7BDCE}"/>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2023-05-24T02:57:40Z</dcterms:created>
  <dcterms:modified xsi:type="dcterms:W3CDTF">2023-10-30T06:58:35Z</dcterms:modified>
</cp:coreProperties>
</file>