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F9CF0187-00E1-B448-A04C-FA51E3AE16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4" i="1" l="1"/>
  <c r="Y30" i="1" l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8" i="1"/>
  <c r="Y108" i="1"/>
  <c r="Z108" i="1"/>
  <c r="AA108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AE95" i="1" l="1" a="1"/>
  <c r="AE95" i="1" s="1"/>
  <c r="Y116" i="1" a="1"/>
  <c r="Y116" i="1" s="1"/>
  <c r="Y111" i="1"/>
  <c r="AE101" i="1" a="1"/>
  <c r="AE101" i="1" s="1"/>
  <c r="AE90" i="1"/>
  <c r="AE89" i="1"/>
  <c r="AE91" i="1" s="1"/>
  <c r="AE87" i="1"/>
  <c r="AE86" i="1"/>
  <c r="AE99" i="1" s="1"/>
  <c r="AE85" i="1"/>
  <c r="AE88" i="1" s="1"/>
  <c r="AC19" i="1"/>
  <c r="AC16" i="1"/>
  <c r="AF13" i="1"/>
  <c r="AE13" i="1"/>
  <c r="AD13" i="1"/>
  <c r="AC13" i="1"/>
  <c r="AF10" i="1"/>
  <c r="AE10" i="1"/>
  <c r="AD10" i="1"/>
  <c r="AC10" i="1"/>
  <c r="AF7" i="1"/>
  <c r="AE7" i="1"/>
  <c r="AD7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F22" i="1" l="1"/>
  <c r="AE22" i="1"/>
  <c r="AF19" i="1"/>
  <c r="AE19" i="1"/>
  <c r="AD19" i="1"/>
  <c r="AE106" i="1"/>
  <c r="X105" i="1" s="1"/>
  <c r="Y105" i="1" s="1"/>
  <c r="Z105" i="1" s="1"/>
  <c r="AA105" i="1" s="1"/>
  <c r="AB105" i="1" s="1"/>
  <c r="AE103" i="1"/>
  <c r="AE100" i="1" s="1"/>
  <c r="Y112" i="1"/>
  <c r="AF16" i="1"/>
  <c r="AE16" i="1"/>
  <c r="AD16" i="1"/>
  <c r="AE92" i="1"/>
  <c r="AE102" i="1" l="1"/>
  <c r="AE94" i="1" l="1"/>
  <c r="AE97" i="1" s="1"/>
  <c r="AE105" i="1" s="1"/>
  <c r="AE108" i="1" s="1"/>
  <c r="AB107" i="1" l="1"/>
  <c r="AB108" i="1" s="1"/>
  <c r="Y110" i="1" s="1"/>
  <c r="Y113" i="1" s="1"/>
  <c r="Y115" i="1" s="1"/>
  <c r="Y118" i="1" l="1"/>
  <c r="Y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<sst xmlns="http://schemas.openxmlformats.org/spreadsheetml/2006/main" count="638" uniqueCount="167">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</sst>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1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2" fontId="11" fillId="0" borderId="9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164" fontId="1" fillId="7" borderId="0" xfId="0" applyNumberFormat="1" applyFont="1" applyFill="1"/>
    <xf numFmtId="164" fontId="6" fillId="0" borderId="0" xfId="0" applyNumberFormat="1" applyFont="1"/>
    <xf numFmtId="165" fontId="2" fillId="0" borderId="10" xfId="0" applyNumberFormat="1" applyFont="1" applyBorder="1"/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8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RMS.PA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376237623762E-2"/>
          <c:y val="0.1161933750620595"/>
          <c:w val="0.85757095709570952"/>
          <c:h val="0.728095991536709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1'!$B$3:$W$3</c:f>
              <c:numCache>
                <c:formatCode>#,###,,;\(#,###,,\);\ \-\ \-</c:formatCode>
                <c:ptCount val="22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F-B44D-91FD-A3CD7323679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1'!$B$19:$W$19</c:f>
              <c:numCache>
                <c:formatCode>#,###,,;\(#,###,,\);\ \-\ \-</c:formatCode>
                <c:ptCount val="22"/>
                <c:pt idx="0">
                  <c:v>365300000</c:v>
                </c:pt>
                <c:pt idx="1">
                  <c:v>380300000</c:v>
                </c:pt>
                <c:pt idx="2">
                  <c:v>391400000</c:v>
                </c:pt>
                <c:pt idx="3">
                  <c:v>409300000</c:v>
                </c:pt>
                <c:pt idx="4">
                  <c:v>436500000</c:v>
                </c:pt>
                <c:pt idx="5">
                  <c:v>463300000</c:v>
                </c:pt>
                <c:pt idx="6">
                  <c:v>502200000</c:v>
                </c:pt>
                <c:pt idx="7">
                  <c:v>529900000</c:v>
                </c:pt>
                <c:pt idx="8">
                  <c:v>538000000</c:v>
                </c:pt>
                <c:pt idx="9">
                  <c:v>749700000</c:v>
                </c:pt>
                <c:pt idx="10">
                  <c:v>1004300000</c:v>
                </c:pt>
                <c:pt idx="11">
                  <c:v>1207600000</c:v>
                </c:pt>
                <c:pt idx="12">
                  <c:v>1324200000</c:v>
                </c:pt>
                <c:pt idx="13">
                  <c:v>1428800000</c:v>
                </c:pt>
                <c:pt idx="14">
                  <c:v>1687500000</c:v>
                </c:pt>
                <c:pt idx="15">
                  <c:v>1859100000</c:v>
                </c:pt>
                <c:pt idx="16">
                  <c:v>2093500000</c:v>
                </c:pt>
                <c:pt idx="17">
                  <c:v>2297200000</c:v>
                </c:pt>
                <c:pt idx="18">
                  <c:v>2751300000</c:v>
                </c:pt>
                <c:pt idx="19">
                  <c:v>2544900000</c:v>
                </c:pt>
                <c:pt idx="20">
                  <c:v>4055000000</c:v>
                </c:pt>
                <c:pt idx="21">
                  <c:v>5304000000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F-B44D-91FD-A3CD7323679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1'!$B$107:$W$107</c:f>
              <c:numCache>
                <c:formatCode>#,###,,;\(#,###,,\);\ \-\ \-</c:formatCode>
                <c:ptCount val="22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F-B44D-91FD-A3CD7323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611663"/>
        <c:axId val="354613391"/>
      </c:barChart>
      <c:catAx>
        <c:axId val="3546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3391"/>
        <c:crosses val="autoZero"/>
        <c:auto val="1"/>
        <c:lblAlgn val="ctr"/>
        <c:lblOffset val="100"/>
        <c:noMultiLvlLbl val="0"/>
      </c:catAx>
      <c:valAx>
        <c:axId val="3546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04329409318891"/>
          <c:y val="0.91868354994223245"/>
          <c:w val="0.30255367584002496"/>
          <c:h val="4.8317039332959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15875</xdr:colOff>
      <xdr:row>108</xdr:row>
      <xdr:rowOff>9524</xdr:rowOff>
    </xdr:from>
    <xdr:to>
      <xdr:col>31</xdr:col>
      <xdr:colOff>15875</xdr:colOff>
      <xdr:row>131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635CB-B6F4-DA8B-72EC-141141C38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Treasuries"/>
      <sheetName val="All Stars"/>
      <sheetName val="ROIC Port"/>
      <sheetName val="To Be Modeled"/>
      <sheetName val="My Holdings"/>
      <sheetName val="My Stocks"/>
      <sheetName val="Short List"/>
      <sheetName val="Stable Growth"/>
      <sheetName val="High Growth"/>
      <sheetName val="Small Caps"/>
      <sheetName val="Compounder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">
          <cell r="C8">
            <v>4.0410000000000001E-2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2036</v>
    <v>1037</v>
    <v>0.74750000000000005</v>
    <v>22.2</v>
    <v>1.2064999999999999E-2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19686</v>
    <v>Euronext Paris</v>
    <v>XPAR</v>
    <v>XPAR</v>
    <v>24 rue du Faubourg Saint Honore, PARIS, ILE-DE-FRANCE, 75008 FR</v>
    <v>1876</v>
    <v>Textiles &amp; Apparel</v>
    <v>Stock</v>
    <v>45114.666666666664</v>
    <v>0</v>
    <v>1835</v>
    <v>196591400000</v>
    <v>Hermes International SCA</v>
    <v>Hermes International SCA</v>
    <v>1844.8</v>
    <v>57.142099999999999</v>
    <v>1840</v>
    <v>1862.2</v>
    <v>105569400</v>
    <v>RMS</v>
    <v>Hermes International SCA (XPAR:RMS)</v>
    <v>63940</v>
    <v>54410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"/>
  <sheetViews>
    <sheetView tabSelected="1" zoomScale="80" zoomScaleNormal="80" workbookViewId="0">
      <pane xSplit="1" ySplit="1" topLeftCell="W93" activePane="bottomRight" state="frozen"/>
      <selection pane="topRight"/>
      <selection pane="bottomLeft"/>
      <selection pane="bottomRight" activeCell="Z99" sqref="Z99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3">
        <v>2023</v>
      </c>
      <c r="Y1" s="23">
        <v>2024</v>
      </c>
      <c r="Z1" s="23">
        <v>2025</v>
      </c>
      <c r="AA1" s="23">
        <v>2026</v>
      </c>
      <c r="AB1" s="23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4">
        <v>13698000000</v>
      </c>
      <c r="Y3" s="24">
        <v>15146000000</v>
      </c>
      <c r="Z3" s="24">
        <v>16451000000</v>
      </c>
      <c r="AA3" s="24">
        <v>17158000000</v>
      </c>
      <c r="AB3" s="24">
        <v>18960000000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15">
        <f>(C3/B3)-1</f>
        <v>1.2551960224957304E-2</v>
      </c>
      <c r="D4" s="15">
        <f>(D3/C3)-1</f>
        <v>-9.9009900990099098E-3</v>
      </c>
      <c r="E4" s="15">
        <f>(E3/D3)-1</f>
        <v>8.2601626016260088E-2</v>
      </c>
      <c r="F4" s="15">
        <f t="shared" ref="F4:AB4" si="0">(F3/E3)-1</f>
        <v>7.1943526584559825E-2</v>
      </c>
      <c r="G4" s="15">
        <f t="shared" si="0"/>
        <v>6.1300266218299093E-2</v>
      </c>
      <c r="H4" s="16">
        <f t="shared" si="0"/>
        <v>7.2744075516535833E-2</v>
      </c>
      <c r="I4" s="16">
        <f t="shared" si="0"/>
        <v>8.584087133099505E-2</v>
      </c>
      <c r="J4" s="16">
        <f t="shared" si="0"/>
        <v>8.4835090105406241E-2</v>
      </c>
      <c r="K4" s="16">
        <f t="shared" si="0"/>
        <v>0.25413989447839946</v>
      </c>
      <c r="L4" s="16">
        <f t="shared" si="0"/>
        <v>0.18343885371542812</v>
      </c>
      <c r="M4" s="16">
        <f t="shared" si="0"/>
        <v>0.22627762917077288</v>
      </c>
      <c r="N4" s="16">
        <f t="shared" si="0"/>
        <v>7.7695818145288698E-2</v>
      </c>
      <c r="O4" s="16">
        <f t="shared" si="0"/>
        <v>9.6889315010120436E-2</v>
      </c>
      <c r="P4" s="16">
        <f t="shared" si="0"/>
        <v>0.17539940756567773</v>
      </c>
      <c r="Q4" s="16">
        <f t="shared" si="0"/>
        <v>7.4612683329890572E-2</v>
      </c>
      <c r="R4" s="16">
        <f t="shared" si="0"/>
        <v>6.6683326285033262E-2</v>
      </c>
      <c r="S4" s="16">
        <f t="shared" si="0"/>
        <v>7.5147321187219562E-2</v>
      </c>
      <c r="T4" s="16">
        <f t="shared" si="0"/>
        <v>0.15375203231591827</v>
      </c>
      <c r="U4" s="16">
        <f t="shared" si="0"/>
        <v>-7.1766859400877459E-2</v>
      </c>
      <c r="V4" s="16">
        <f t="shared" si="0"/>
        <v>0.40576579960559678</v>
      </c>
      <c r="W4" s="16">
        <f t="shared" si="0"/>
        <v>0.2916945001113338</v>
      </c>
      <c r="X4" s="16">
        <f t="shared" si="0"/>
        <v>0.18065850715393905</v>
      </c>
      <c r="Y4" s="16">
        <f t="shared" si="0"/>
        <v>0.10570886260767987</v>
      </c>
      <c r="Z4" s="16">
        <f t="shared" si="0"/>
        <v>8.6161362736035807E-2</v>
      </c>
      <c r="AA4" s="16">
        <f t="shared" si="0"/>
        <v>4.2976110874718865E-2</v>
      </c>
      <c r="AB4" s="16">
        <f t="shared" si="0"/>
        <v>0.10502389555892289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19" t="s">
        <v>112</v>
      </c>
      <c r="AE6" s="19" t="s">
        <v>113</v>
      </c>
      <c r="AF6" s="19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W21</f>
        <v>0.4572</v>
      </c>
      <c r="AE7" s="20">
        <f>W30</f>
        <v>0.29020000000000001</v>
      </c>
      <c r="AF7" s="20">
        <f>W107/W3</f>
        <v>0.36062747802103085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5">
        <f>(W35+V35+U35+T35+S35)/5</f>
        <v>-4.8227323990037534E-2</v>
      </c>
      <c r="AD16" s="26">
        <f>AE101/W3</f>
        <v>16.944612997759005</v>
      </c>
      <c r="AE16" s="26">
        <f>AE101/W28</f>
        <v>58.387704187704188</v>
      </c>
      <c r="AF16" s="27">
        <f>AE101/W107</f>
        <v>46.986472275334606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162</v>
      </c>
      <c r="AE18" s="19" t="s">
        <v>163</v>
      </c>
      <c r="AF18" s="19" t="s">
        <v>164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37">
        <v>6258000000</v>
      </c>
      <c r="Y19" s="37">
        <v>7097000002</v>
      </c>
      <c r="Z19" s="37">
        <v>7856000003</v>
      </c>
      <c r="AA19" s="37">
        <v>7706000004</v>
      </c>
      <c r="AB19" s="37">
        <v>8341000005</v>
      </c>
      <c r="AC19" s="28">
        <f>W40-W56-W61</f>
        <v>7291000000</v>
      </c>
      <c r="AD19" s="42">
        <f>AE101/X3</f>
        <v>14.351832384289677</v>
      </c>
      <c r="AE19" s="42">
        <f>AE101/X28</f>
        <v>49.432084473363822</v>
      </c>
      <c r="AF19" s="43">
        <f>AE101/X106</f>
        <v>51.409884937238495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0.17986425339366519</v>
      </c>
      <c r="Y20" s="16">
        <f t="shared" ref="Y20" si="5">(Y19/X19)-1</f>
        <v>0.13406839277724503</v>
      </c>
      <c r="Z20" s="16">
        <f t="shared" ref="Z20" si="6">(Z19/Y19)-1</f>
        <v>0.10694659726449296</v>
      </c>
      <c r="AA20" s="16">
        <f t="shared" ref="AA20" si="7">(AA19/Z19)-1</f>
        <v>-1.9093686219796235E-2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36">
        <v>0.4572</v>
      </c>
      <c r="X21" s="38">
        <f>X19/X3</f>
        <v>0.45685501533070522</v>
      </c>
      <c r="Y21" s="38">
        <f t="shared" ref="Y21:AB21" si="9">Y19/Y3</f>
        <v>0.46857256054403801</v>
      </c>
      <c r="Z21" s="38">
        <f t="shared" si="9"/>
        <v>0.47753935949182419</v>
      </c>
      <c r="AA21" s="38">
        <f t="shared" si="9"/>
        <v>0.44911994428255042</v>
      </c>
      <c r="AB21" s="38">
        <f t="shared" si="9"/>
        <v>0.43992616060126583</v>
      </c>
      <c r="AE21" s="18" t="s">
        <v>165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35">
        <v>4697000000</v>
      </c>
      <c r="AE22" s="44">
        <f>(-1*W98)/AE101</f>
        <v>4.3338620102405297E-3</v>
      </c>
      <c r="AF22" s="45">
        <f>W107/AE101</f>
        <v>2.1282721421181192E-2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39">
        <v>3977000001</v>
      </c>
      <c r="Y28" s="39">
        <v>4372000002</v>
      </c>
      <c r="Z28" s="39">
        <v>4811000003</v>
      </c>
      <c r="AA28" s="39">
        <v>4746000004</v>
      </c>
      <c r="AB28" s="39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0.18117018146718156</v>
      </c>
      <c r="Y29" s="16">
        <f t="shared" ref="Y29" si="12">(Y28/X28)-1</f>
        <v>9.9321096530218478E-2</v>
      </c>
      <c r="Z29" s="16">
        <f t="shared" ref="Z29" si="13">(Z28/Y28)-1</f>
        <v>0.10041171107026003</v>
      </c>
      <c r="AA29" s="16">
        <f t="shared" ref="AA29" si="14">(AA28/Z28)-1</f>
        <v>-1.3510704418929098E-2</v>
      </c>
      <c r="AB29" s="16">
        <f t="shared" ref="AB29" si="15">(AB28/AA28)-1</f>
        <v>8.3227981598627876E-2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40">
        <f>X28/X3</f>
        <v>0.29033435545335085</v>
      </c>
      <c r="Y30" s="40">
        <f t="shared" ref="Y30:AB30" si="16">Y28/Y3</f>
        <v>0.28865707130595536</v>
      </c>
      <c r="Z30" s="40">
        <f t="shared" si="16"/>
        <v>0.29244422849674789</v>
      </c>
      <c r="AA30" s="40">
        <f t="shared" si="16"/>
        <v>0.27660566522904767</v>
      </c>
      <c r="AB30" s="40">
        <f t="shared" si="16"/>
        <v>0.27114978929324896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41">
        <v>38.04</v>
      </c>
      <c r="Y31" s="41">
        <v>41.83</v>
      </c>
      <c r="Z31" s="41">
        <v>46.02</v>
      </c>
      <c r="AA31" s="41">
        <v>45.4</v>
      </c>
      <c r="AB31" s="41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3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</row>
    <row r="34" spans="1:23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</row>
    <row r="35" spans="1:23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W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</row>
    <row r="36" spans="1:23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3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3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3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3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3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3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3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3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3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3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3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3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1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1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1" ht="21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  <c r="AD83" s="68" t="s">
        <v>124</v>
      </c>
      <c r="AE83" s="69"/>
    </row>
    <row r="84" spans="1:31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AD84" s="70" t="s">
        <v>125</v>
      </c>
      <c r="AE84" s="70"/>
    </row>
    <row r="85" spans="1:31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AD85" s="46" t="s">
        <v>126</v>
      </c>
      <c r="AE85" s="47">
        <f>W17</f>
        <v>-62000000</v>
      </c>
    </row>
    <row r="86" spans="1:31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AD86" s="46" t="s">
        <v>127</v>
      </c>
      <c r="AE86" s="47">
        <f>W56</f>
        <v>270000000</v>
      </c>
    </row>
    <row r="87" spans="1:31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AD87" s="46" t="s">
        <v>128</v>
      </c>
      <c r="AE87" s="47">
        <f>W61</f>
        <v>1664000000</v>
      </c>
    </row>
    <row r="88" spans="1:31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AD88" s="48" t="s">
        <v>129</v>
      </c>
      <c r="AE88" s="49">
        <f>AE85/(AE86+AE87)</f>
        <v>-3.2057911065149949E-2</v>
      </c>
    </row>
    <row r="89" spans="1:31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AD89" s="46" t="s">
        <v>105</v>
      </c>
      <c r="AE89" s="47">
        <f>W27</f>
        <v>1305000000</v>
      </c>
    </row>
    <row r="90" spans="1:31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AD90" s="46" t="s">
        <v>19</v>
      </c>
      <c r="AE90" s="47">
        <f>W25</f>
        <v>4635000000</v>
      </c>
    </row>
    <row r="91" spans="1:31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AD91" s="48" t="s">
        <v>130</v>
      </c>
      <c r="AE91" s="49">
        <f>AE89/AE90</f>
        <v>0.28155339805825241</v>
      </c>
    </row>
    <row r="92" spans="1:31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AD92" s="48" t="s">
        <v>131</v>
      </c>
      <c r="AE92" s="49">
        <f>AE88*(1-AE91)</f>
        <v>-2.303189727010773E-2</v>
      </c>
    </row>
    <row r="93" spans="1:31" ht="19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AD93" s="70" t="s">
        <v>132</v>
      </c>
      <c r="AE93" s="70"/>
    </row>
    <row r="94" spans="1:31" ht="20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AD94" s="46" t="s">
        <v>133</v>
      </c>
      <c r="AE94" s="50">
        <f>[1]Treasuries!$C$8</f>
        <v>4.0410000000000001E-2</v>
      </c>
    </row>
    <row r="95" spans="1:31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AD95" s="46" t="s">
        <v>134</v>
      </c>
      <c r="AE95" s="51" cm="1">
        <f t="array" ref="AE95">_FV(A1,"Beta")</f>
        <v>0.74750000000000005</v>
      </c>
    </row>
    <row r="96" spans="1:31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AD96" s="46" t="s">
        <v>135</v>
      </c>
      <c r="AE96" s="50">
        <v>8.4000000000000005E-2</v>
      </c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AD97" s="48" t="s">
        <v>136</v>
      </c>
      <c r="AE97" s="49">
        <f>(AE94)+((AE95)*(AE96-AE94))</f>
        <v>7.2993525000000004E-2</v>
      </c>
    </row>
    <row r="98" spans="1:31" ht="19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AD98" s="70" t="s">
        <v>137</v>
      </c>
      <c r="AE98" s="70"/>
    </row>
    <row r="99" spans="1:31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AD99" s="46" t="s">
        <v>138</v>
      </c>
      <c r="AE99" s="47">
        <f>AE86+AE87</f>
        <v>1934000000</v>
      </c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AD100" s="48" t="s">
        <v>139</v>
      </c>
      <c r="AE100" s="49">
        <f>AE99/AE103</f>
        <v>9.7418264866863391E-3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AD101" s="46" t="s">
        <v>140</v>
      </c>
      <c r="AE101" s="52" cm="1">
        <f t="array" ref="AE101">_FV(A1,"Market cap",TRUE)</f>
        <v>196591400000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AD102" s="48" t="s">
        <v>141</v>
      </c>
      <c r="AE102" s="49">
        <f>AE101/AE103</f>
        <v>0.99025817351331369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AD103" s="48" t="s">
        <v>142</v>
      </c>
      <c r="AE103" s="53">
        <f>AE99+AE101</f>
        <v>198525400000</v>
      </c>
    </row>
    <row r="104" spans="1:31" ht="20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AD104" s="70" t="s">
        <v>143</v>
      </c>
      <c r="AE104" s="70"/>
    </row>
    <row r="105" spans="1:31" ht="21" thickTop="1" x14ac:dyDescent="0.25">
      <c r="A105" s="14" t="s">
        <v>157</v>
      </c>
      <c r="B105" s="1">
        <f t="shared" ref="B105:V105" si="20">((B22*(1-$AE$91))+B77+B88+B81)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>((W22*(1-$AE$91))+W77+W88+W81)</f>
        <v>4054543689.3203883</v>
      </c>
      <c r="X105" s="29">
        <f>W105*(1+$AE$106)</f>
        <v>4476644992.0291462</v>
      </c>
      <c r="Y105" s="29">
        <f t="shared" ref="Y105:AB105" si="21">X105*(1+$AE$106)</f>
        <v>4942689466.4979534</v>
      </c>
      <c r="Z105" s="29">
        <f t="shared" si="21"/>
        <v>5457251849.4829893</v>
      </c>
      <c r="AA105" s="29">
        <f t="shared" si="21"/>
        <v>6025383134.131362</v>
      </c>
      <c r="AB105" s="29">
        <f t="shared" si="21"/>
        <v>6652660151.0088215</v>
      </c>
      <c r="AC105" s="30" t="s">
        <v>160</v>
      </c>
      <c r="AD105" s="54" t="s">
        <v>106</v>
      </c>
      <c r="AE105" s="55">
        <f>(AE100*AE92)+(AE102*AE97)</f>
        <v>7.2058061997933839E-2</v>
      </c>
    </row>
    <row r="106" spans="1:31" ht="19" x14ac:dyDescent="0.25">
      <c r="A106" s="14" t="s">
        <v>158</v>
      </c>
      <c r="B106" s="1"/>
      <c r="C106" s="15">
        <f t="shared" ref="C106:W106" si="22">(C107/B107)-1</f>
        <v>0.58752735229759301</v>
      </c>
      <c r="D106" s="15">
        <f t="shared" si="22"/>
        <v>2.7567195037905279E-3</v>
      </c>
      <c r="E106" s="15">
        <f t="shared" si="22"/>
        <v>0.22268041237113412</v>
      </c>
      <c r="F106" s="15">
        <f t="shared" si="22"/>
        <v>0.14446318156267557</v>
      </c>
      <c r="G106" s="15">
        <f t="shared" si="22"/>
        <v>-0.16453831041257372</v>
      </c>
      <c r="H106" s="15">
        <f t="shared" si="22"/>
        <v>0.20458553791887124</v>
      </c>
      <c r="I106" s="15">
        <f t="shared" si="22"/>
        <v>-0.30697901415324547</v>
      </c>
      <c r="J106" s="15">
        <f t="shared" si="22"/>
        <v>0.81760563380281681</v>
      </c>
      <c r="K106" s="15">
        <f t="shared" si="22"/>
        <v>1.0360325455249901</v>
      </c>
      <c r="L106" s="15">
        <f t="shared" si="22"/>
        <v>4.7954329210275981E-2</v>
      </c>
      <c r="M106" s="15">
        <f t="shared" si="22"/>
        <v>-7.71745051752315E-2</v>
      </c>
      <c r="N106" s="15">
        <f t="shared" si="22"/>
        <v>0.34927194018103114</v>
      </c>
      <c r="O106" s="15">
        <f t="shared" si="22"/>
        <v>3.2084001750036784E-3</v>
      </c>
      <c r="P106" s="15">
        <f t="shared" si="22"/>
        <v>0.35673789795028354</v>
      </c>
      <c r="Q106" s="15">
        <f t="shared" si="22"/>
        <v>0.29840351441122892</v>
      </c>
      <c r="R106" s="15">
        <f t="shared" si="22"/>
        <v>0.10604060075920119</v>
      </c>
      <c r="S106" s="15">
        <f t="shared" si="22"/>
        <v>7.9683652913526748E-2</v>
      </c>
      <c r="T106" s="15">
        <f t="shared" si="22"/>
        <v>0.11208624144841406</v>
      </c>
      <c r="U106" s="15">
        <f t="shared" si="22"/>
        <v>-0.25806251165102845</v>
      </c>
      <c r="V106" s="15">
        <f t="shared" si="22"/>
        <v>1.8517587939698492</v>
      </c>
      <c r="W106" s="15">
        <f t="shared" si="22"/>
        <v>0.22878120411160063</v>
      </c>
      <c r="X106" s="33">
        <v>3824000000</v>
      </c>
      <c r="Y106" s="33">
        <v>4449000000</v>
      </c>
      <c r="Z106" s="33">
        <v>4970000000</v>
      </c>
      <c r="AA106" s="33">
        <v>4708000000</v>
      </c>
      <c r="AB106" s="33">
        <v>5062000000</v>
      </c>
      <c r="AC106" s="30" t="s">
        <v>161</v>
      </c>
      <c r="AD106" s="56" t="s">
        <v>144</v>
      </c>
      <c r="AE106" s="57">
        <f>(SUM(X4:AB4)/5)</f>
        <v>0.10410574778625929</v>
      </c>
    </row>
    <row r="107" spans="1:31" ht="19" x14ac:dyDescent="0.25">
      <c r="A107" s="32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30"/>
      <c r="Y107" s="30"/>
      <c r="Z107" s="30"/>
      <c r="AA107" s="30"/>
      <c r="AB107" s="34">
        <f>AB106*(1+AE107)/(AE108-AE107)</f>
        <v>110258471762.5603</v>
      </c>
      <c r="AC107" s="31" t="s">
        <v>145</v>
      </c>
      <c r="AD107" s="58" t="s">
        <v>146</v>
      </c>
      <c r="AE107" s="59">
        <v>2.5000000000000001E-2</v>
      </c>
    </row>
    <row r="108" spans="1:31" ht="19" x14ac:dyDescent="0.25">
      <c r="X108" s="34">
        <f t="shared" ref="X108:AA108" si="23">X107+X106</f>
        <v>3824000000</v>
      </c>
      <c r="Y108" s="34">
        <f t="shared" si="23"/>
        <v>4449000000</v>
      </c>
      <c r="Z108" s="34">
        <f t="shared" si="23"/>
        <v>4970000000</v>
      </c>
      <c r="AA108" s="34">
        <f t="shared" si="23"/>
        <v>4708000000</v>
      </c>
      <c r="AB108" s="34">
        <f>AB107+AB106</f>
        <v>115320471762.5603</v>
      </c>
      <c r="AC108" s="31" t="s">
        <v>142</v>
      </c>
      <c r="AD108" s="60" t="s">
        <v>147</v>
      </c>
      <c r="AE108" s="57">
        <f>AE105</f>
        <v>7.2058061997933839E-2</v>
      </c>
    </row>
    <row r="109" spans="1:31" ht="19" x14ac:dyDescent="0.25">
      <c r="X109" s="67" t="s">
        <v>148</v>
      </c>
      <c r="Y109" s="67"/>
    </row>
    <row r="110" spans="1:31" ht="20" x14ac:dyDescent="0.25">
      <c r="X110" s="61" t="s">
        <v>149</v>
      </c>
      <c r="Y110" s="52">
        <f>NPV(AE108,X108,Y108,Z108,AA108,AB108)</f>
        <v>96471591782.145355</v>
      </c>
    </row>
    <row r="111" spans="1:31" ht="20" x14ac:dyDescent="0.25">
      <c r="X111" s="61" t="s">
        <v>150</v>
      </c>
      <c r="Y111" s="52">
        <f>W40</f>
        <v>9225000000</v>
      </c>
    </row>
    <row r="112" spans="1:31" ht="20" x14ac:dyDescent="0.25">
      <c r="X112" s="61" t="s">
        <v>138</v>
      </c>
      <c r="Y112" s="52">
        <f>AE99</f>
        <v>1934000000</v>
      </c>
    </row>
    <row r="113" spans="24:25" ht="20" x14ac:dyDescent="0.25">
      <c r="X113" s="61" t="s">
        <v>151</v>
      </c>
      <c r="Y113" s="52">
        <f>Y110+Y111-Y112</f>
        <v>103762591782.14536</v>
      </c>
    </row>
    <row r="114" spans="24:25" ht="20" x14ac:dyDescent="0.25">
      <c r="X114" s="61" t="s">
        <v>152</v>
      </c>
      <c r="Y114" s="61">
        <f>W34*(1+(AC16*5))</f>
        <v>60608393.517080538</v>
      </c>
    </row>
    <row r="115" spans="24:25" ht="20" x14ac:dyDescent="0.25">
      <c r="X115" s="62" t="s">
        <v>153</v>
      </c>
      <c r="Y115" s="63">
        <f>Y113/Y114</f>
        <v>1712.0168636857729</v>
      </c>
    </row>
    <row r="116" spans="24:25" ht="20" x14ac:dyDescent="0.25">
      <c r="X116" s="61" t="s">
        <v>154</v>
      </c>
      <c r="Y116" s="64" cm="1">
        <f t="array" ref="Y116">_FV(A1,"Price")</f>
        <v>1862.2</v>
      </c>
    </row>
    <row r="117" spans="24:25" ht="20" x14ac:dyDescent="0.25">
      <c r="X117" s="62" t="s">
        <v>155</v>
      </c>
      <c r="Y117" s="65">
        <f>Y115/Y116-1</f>
        <v>-8.0648231293216188E-2</v>
      </c>
    </row>
    <row r="118" spans="24:25" ht="20" x14ac:dyDescent="0.25">
      <c r="X118" s="62" t="s">
        <v>156</v>
      </c>
      <c r="Y118" s="66" t="str">
        <f>IF(Y115&gt;Y116,"BUY","SELL")</f>
        <v>SELL</v>
      </c>
    </row>
  </sheetData>
  <mergeCells count="6">
    <mergeCell ref="X109:Y109"/>
    <mergeCell ref="AD83:AE83"/>
    <mergeCell ref="AD84:AE84"/>
    <mergeCell ref="AD93:AE93"/>
    <mergeCell ref="AD98:AE98"/>
    <mergeCell ref="AD104:AE10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6" r:id="rId47" xr:uid="{F2A414B3-380E-3F4D-8F11-0F084479A878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2023-03-26T07:11:29Z</dcterms:created>
  <dcterms:modified xsi:type="dcterms:W3CDTF">2023-07-09T11:32:03Z</dcterms:modified>
</cp:coreProperties>
</file>