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881EE778-73CF-324E-BE24-3726902405B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1" l="1"/>
  <c r="I4" i="1"/>
  <c r="J4" i="1"/>
  <c r="K4" i="1"/>
  <c r="L4" i="1"/>
  <c r="M4" i="1"/>
  <c r="N4" i="1"/>
  <c r="O4" i="1"/>
  <c r="P4" i="1"/>
  <c r="Q4" i="1"/>
  <c r="R4" i="1"/>
  <c r="S4" i="1"/>
  <c r="T4" i="1"/>
  <c r="U4" i="1"/>
  <c r="V4" i="1"/>
  <c r="W4" i="1"/>
  <c r="X4" i="1"/>
  <c r="Y4" i="1"/>
  <c r="Z4" i="1"/>
  <c r="AA4" i="1"/>
  <c r="AC30" i="1"/>
  <c r="AD30" i="1"/>
  <c r="AE30" i="1"/>
  <c r="AF30" i="1"/>
  <c r="AB30" i="1"/>
  <c r="AB29" i="1"/>
  <c r="AC29" i="1"/>
  <c r="AD29" i="1"/>
  <c r="AE29" i="1"/>
  <c r="AF29" i="1"/>
  <c r="AC21" i="1"/>
  <c r="AD21" i="1"/>
  <c r="AE21" i="1"/>
  <c r="AF21" i="1"/>
  <c r="AB21" i="1"/>
  <c r="AB20" i="1"/>
  <c r="AC20" i="1"/>
  <c r="AD20" i="1"/>
  <c r="AE20" i="1"/>
  <c r="AF20"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C116" i="1" l="1" a="1"/>
  <c r="AC116" i="1" s="1"/>
  <c r="AI101" i="1" a="1"/>
  <c r="AI101" i="1" s="1"/>
  <c r="AI95" i="1" a="1"/>
  <c r="AI95" i="1" s="1"/>
  <c r="AC114" i="1"/>
  <c r="AG19" i="1"/>
  <c r="AJ22" i="1" l="1"/>
  <c r="AH19" i="1"/>
  <c r="AI22" i="1"/>
  <c r="AJ19" i="1"/>
  <c r="AI19" i="1"/>
  <c r="AC111" i="1"/>
  <c r="AI90" i="1"/>
  <c r="AI89" i="1"/>
  <c r="AI91" i="1" s="1"/>
  <c r="AI88" i="1"/>
  <c r="AI92" i="1" s="1"/>
  <c r="AI87" i="1"/>
  <c r="AI86" i="1"/>
  <c r="AI99" i="1" s="1"/>
  <c r="AI85" i="1"/>
  <c r="AJ16" i="1"/>
  <c r="AI16" i="1"/>
  <c r="AH16" i="1"/>
  <c r="AG16" i="1"/>
  <c r="AJ13" i="1"/>
  <c r="AI13" i="1"/>
  <c r="AH13" i="1"/>
  <c r="AG13" i="1"/>
  <c r="AI10" i="1"/>
  <c r="AH10" i="1"/>
  <c r="AG10" i="1"/>
  <c r="AJ7" i="1"/>
  <c r="AI7" i="1"/>
  <c r="AH7" i="1"/>
  <c r="AG7" i="1"/>
  <c r="AI4" i="1"/>
  <c r="AH4" i="1"/>
  <c r="AG4" i="1"/>
  <c r="AF4" i="1"/>
  <c r="AE4" i="1"/>
  <c r="AD4" i="1"/>
  <c r="AC4" i="1"/>
  <c r="AB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AJ10" i="1" s="1"/>
  <c r="U106" i="1"/>
  <c r="V106" i="1"/>
  <c r="W106" i="1"/>
  <c r="X106" i="1"/>
  <c r="Y106" i="1"/>
  <c r="Z106" i="1"/>
  <c r="AA106" i="1"/>
  <c r="AJ4" i="1" s="1"/>
  <c r="T106" i="1"/>
  <c r="S106" i="1"/>
  <c r="R106" i="1"/>
  <c r="Q106" i="1"/>
  <c r="P106" i="1"/>
  <c r="O106" i="1"/>
  <c r="N106" i="1"/>
  <c r="M106" i="1"/>
  <c r="L106" i="1"/>
  <c r="K106" i="1"/>
  <c r="J106" i="1"/>
  <c r="I106" i="1"/>
  <c r="H106" i="1"/>
  <c r="G106" i="1"/>
  <c r="F106" i="1"/>
  <c r="E106" i="1"/>
  <c r="D106" i="1"/>
  <c r="C106"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G4" i="1"/>
  <c r="F4" i="1"/>
  <c r="E4" i="1"/>
  <c r="D4" i="1"/>
  <c r="C4" i="1"/>
  <c r="AI106" i="1" l="1"/>
  <c r="AB105" i="1" s="1"/>
  <c r="AC105" i="1" s="1"/>
  <c r="AD105" i="1" s="1"/>
  <c r="AE105" i="1" s="1"/>
  <c r="AF105" i="1" s="1"/>
  <c r="AI103" i="1"/>
  <c r="AI102" i="1" s="1"/>
  <c r="AC112" i="1"/>
  <c r="AI100" i="1" l="1"/>
  <c r="AB108" i="1" l="1"/>
  <c r="AD108" i="1" l="1"/>
  <c r="AC108" i="1"/>
  <c r="AE108" i="1" l="1"/>
  <c r="AI94" i="1" l="1"/>
  <c r="AI97" i="1" s="1"/>
  <c r="AI105" i="1" s="1"/>
  <c r="AI108" i="1" s="1"/>
  <c r="AF107" i="1" s="1"/>
  <c r="AF108" i="1" s="1"/>
  <c r="AC110" i="1" s="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<sst xmlns="http://schemas.openxmlformats.org/spreadsheetml/2006/main" count="756" uniqueCount="167">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</sst>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0" fontId="1" fillId="0" borderId="0" xfId="0" applyFont="1" applyAlignment="1">
      <alignment indent="1"/>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164" fontId="1" fillId="7"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Moody's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163636363636361E-2"/>
          <c:y val="0.14971917804124144"/>
          <c:w val="0.87923305785123962"/>
          <c:h val="0.6648283201501863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1'!$C$3:$AA$3</c:f>
              <c:numCache>
                <c:formatCode>#,###,,;\(#,###,,\);\ \-\ \-</c:formatCode>
                <c:ptCount val="25"/>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numCache>
            </c:numRef>
          </c:val>
          <c:extLst>
            <c:ext xmlns:c16="http://schemas.microsoft.com/office/drawing/2014/chart" uri="{C3380CC4-5D6E-409C-BE32-E72D297353CC}">
              <c16:uniqueId val="{00000000-56B2-2448-B6BC-AA140054441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1'!$C$19:$AA$19</c:f>
              <c:numCache>
                <c:formatCode>#,###,,;\(#,###,,\);\ \-\ \-</c:formatCode>
                <c:ptCount val="25"/>
                <c:pt idx="0">
                  <c:v>575100000</c:v>
                </c:pt>
                <c:pt idx="1">
                  <c:v>575800000</c:v>
                </c:pt>
                <c:pt idx="2">
                  <c:v>300600000</c:v>
                </c:pt>
                <c:pt idx="3">
                  <c:v>398900000</c:v>
                </c:pt>
                <c:pt idx="4">
                  <c:v>542000000</c:v>
                </c:pt>
                <c:pt idx="5">
                  <c:v>689000000</c:v>
                </c:pt>
                <c:pt idx="6">
                  <c:v>805400000</c:v>
                </c:pt>
                <c:pt idx="7">
                  <c:v>969900000</c:v>
                </c:pt>
                <c:pt idx="8">
                  <c:v>1300000000</c:v>
                </c:pt>
                <c:pt idx="9">
                  <c:v>1159600000</c:v>
                </c:pt>
                <c:pt idx="10">
                  <c:v>800900000</c:v>
                </c:pt>
                <c:pt idx="11">
                  <c:v>741100000</c:v>
                </c:pt>
                <c:pt idx="12">
                  <c:v>830700000</c:v>
                </c:pt>
                <c:pt idx="13">
                  <c:v>979800000</c:v>
                </c:pt>
                <c:pt idx="14">
                  <c:v>1176800000</c:v>
                </c:pt>
                <c:pt idx="15">
                  <c:v>1348600000</c:v>
                </c:pt>
                <c:pt idx="16">
                  <c:v>1662800000</c:v>
                </c:pt>
                <c:pt idx="17">
                  <c:v>1609600000</c:v>
                </c:pt>
                <c:pt idx="18">
                  <c:v>824200000</c:v>
                </c:pt>
                <c:pt idx="19">
                  <c:v>2142400000</c:v>
                </c:pt>
                <c:pt idx="20">
                  <c:v>2083800000</c:v>
                </c:pt>
                <c:pt idx="21">
                  <c:v>2228000000</c:v>
                </c:pt>
                <c:pt idx="22">
                  <c:v>2666000000</c:v>
                </c:pt>
                <c:pt idx="23">
                  <c:v>3213000000</c:v>
                </c:pt>
                <c:pt idx="24">
                  <c:v>1883000000</c:v>
                </c:pt>
              </c:numCache>
            </c:numRef>
          </c:val>
          <c:extLst>
            <c:ext xmlns:c16="http://schemas.microsoft.com/office/drawing/2014/chart" uri="{C3380CC4-5D6E-409C-BE32-E72D297353CC}">
              <c16:uniqueId val="{00000001-56B2-2448-B6BC-AA140054441D}"/>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1'!$C$107:$AA$107</c:f>
              <c:numCache>
                <c:formatCode>#,###,,;\(#,###,,\);\ \-\ \-</c:formatCode>
                <c:ptCount val="25"/>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numCache>
            </c:numRef>
          </c:val>
          <c:extLst>
            <c:ext xmlns:c16="http://schemas.microsoft.com/office/drawing/2014/chart" uri="{C3380CC4-5D6E-409C-BE32-E72D297353CC}">
              <c16:uniqueId val="{00000002-56B2-2448-B6BC-AA140054441D}"/>
            </c:ext>
          </c:extLst>
        </c:ser>
        <c:dLbls>
          <c:showLegendKey val="0"/>
          <c:showVal val="0"/>
          <c:showCatName val="0"/>
          <c:showSerName val="0"/>
          <c:showPercent val="0"/>
          <c:showBubbleSize val="0"/>
        </c:dLbls>
        <c:gapWidth val="100"/>
        <c:overlap val="-24"/>
        <c:axId val="499809600"/>
        <c:axId val="499811328"/>
      </c:barChart>
      <c:catAx>
        <c:axId val="49980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811328"/>
        <c:crosses val="autoZero"/>
        <c:auto val="1"/>
        <c:lblAlgn val="ctr"/>
        <c:lblOffset val="100"/>
        <c:noMultiLvlLbl val="0"/>
      </c:catAx>
      <c:valAx>
        <c:axId val="4998113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9809600"/>
        <c:crosses val="autoZero"/>
        <c:crossBetween val="between"/>
      </c:valAx>
      <c:spPr>
        <a:noFill/>
        <a:ln>
          <a:noFill/>
        </a:ln>
        <a:effectLst/>
      </c:spPr>
    </c:plotArea>
    <c:legend>
      <c:legendPos val="b"/>
      <c:layout>
        <c:manualLayout>
          <c:xMode val="edge"/>
          <c:yMode val="edge"/>
          <c:x val="0.33392198867703521"/>
          <c:y val="0.90129535630369662"/>
          <c:w val="0.36389145571679571"/>
          <c:h val="6.22581744480117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25399</xdr:rowOff>
    </xdr:from>
    <xdr:to>
      <xdr:col>34</xdr:col>
      <xdr:colOff>1603374</xdr:colOff>
      <xdr:row>126</xdr:row>
      <xdr:rowOff>31749</xdr:rowOff>
    </xdr:to>
    <xdr:graphicFrame macro="">
      <xdr:nvGraphicFramePr>
        <xdr:cNvPr id="2" name="Chart 1">
          <a:extLst>
            <a:ext uri="{FF2B5EF4-FFF2-40B4-BE49-F238E27FC236}">
              <a16:creationId xmlns:a16="http://schemas.microsoft.com/office/drawing/2014/main" id="{8D239728-4FCA-E0D2-FC7F-5C0986650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351.06</v>
    <v>230.16</v>
    <v>1.3055000000000001</v>
    <v>-2.65</v>
    <v>-7.744E-3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344.44</v>
    <v>Professional &amp; Commercial Services</v>
    <v>Stock</v>
    <v>45114.996496712498</v>
    <v>0</v>
    <v>338.8</v>
    <v>62311090000</v>
    <v>MOODY'S CORPORATION</v>
    <v>MOODY'S CORPORATION</v>
    <v>339.68</v>
    <v>43.903500000000001</v>
    <v>342.22</v>
    <v>339.57</v>
    <v>183500000</v>
    <v>MCO</v>
    <v>MOODY'S CORPORATION (XNYS:MCO)</v>
    <v>10</v>
    <v>736580</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hyperlink" Target="https://finbox.com/NYSE:MCO/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56" Type="http://schemas.openxmlformats.org/officeDocument/2006/relationships/drawing" Target="../drawings/drawing1.xm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X79" activePane="bottomRight" state="frozen"/>
      <selection pane="topRight"/>
      <selection pane="bottomLeft"/>
      <selection pane="bottomRight" activeCell="AF99" sqref="AF99"/>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c r="AG2" s="9"/>
      <c r="AH2" s="9"/>
      <c r="AI2" s="9"/>
      <c r="AJ2" s="9"/>
    </row>
    <row r="3" spans="1:36" ht="40" x14ac:dyDescent="0.25">
      <c r="A3" s="5" t="s">
        <v>1</v>
      </c>
      <c r="B3" s="1" t="s">
        <v>91</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4">
        <v>5898000000</v>
      </c>
      <c r="AC3" s="24">
        <v>6482000000</v>
      </c>
      <c r="AD3" s="24">
        <v>7103000000</v>
      </c>
      <c r="AE3" s="24">
        <v>7515000000</v>
      </c>
      <c r="AF3" s="24">
        <v>8099000000</v>
      </c>
      <c r="AG3" s="18" t="s">
        <v>107</v>
      </c>
      <c r="AH3" s="19" t="s">
        <v>108</v>
      </c>
      <c r="AI3" s="19" t="s">
        <v>109</v>
      </c>
      <c r="AJ3" s="19" t="s">
        <v>110</v>
      </c>
    </row>
    <row r="4" spans="1:36" ht="19" x14ac:dyDescent="0.25">
      <c r="A4" s="14" t="s">
        <v>93</v>
      </c>
      <c r="B4" s="1"/>
      <c r="C4" s="15" t="e">
        <f>(C3/B3)-1</f>
        <v>#VALUE!</v>
      </c>
      <c r="D4" s="15">
        <f>(D3/C3)-1</f>
        <v>1.9281468079607178E-2</v>
      </c>
      <c r="E4" s="15">
        <f>(E3/D3)-1</f>
        <v>-0.69454305710518316</v>
      </c>
      <c r="F4" s="15">
        <f t="shared" ref="F4:G4" si="0">(F3/E3)-1</f>
        <v>0.32276274281919304</v>
      </c>
      <c r="G4" s="15">
        <f t="shared" si="0"/>
        <v>0.28442324588929324</v>
      </c>
      <c r="H4" s="15">
        <f t="shared" ref="H4" si="1">(H3/G3)-1</f>
        <v>0.21821557705462724</v>
      </c>
      <c r="I4" s="15">
        <f t="shared" ref="I4" si="2">(I3/H3)-1</f>
        <v>0.15377827691320389</v>
      </c>
      <c r="J4" s="15">
        <f t="shared" ref="J4" si="3">(J3/I3)-1</f>
        <v>0.20392129597441433</v>
      </c>
      <c r="K4" s="15">
        <f t="shared" ref="K4" si="4">(K3/J3)-1</f>
        <v>0.17642642642642636</v>
      </c>
      <c r="L4" s="15">
        <f t="shared" ref="L4" si="5">(L3/K3)-1</f>
        <v>0.10892936036522505</v>
      </c>
      <c r="M4" s="15">
        <f t="shared" ref="M4" si="6">(M3/L3)-1</f>
        <v>-0.22293050022133687</v>
      </c>
      <c r="N4" s="15">
        <f t="shared" ref="N4" si="7">(N3/M3)-1</f>
        <v>2.3812236527287256E-2</v>
      </c>
      <c r="O4" s="15">
        <f t="shared" ref="O4" si="8">(O3/N3)-1</f>
        <v>0.13064767415980416</v>
      </c>
      <c r="P4" s="15">
        <f t="shared" ref="P4" si="9">(P3/O3)-1</f>
        <v>0.12239173228346467</v>
      </c>
      <c r="Q4" s="15">
        <f t="shared" ref="Q4" si="10">(Q3/P3)-1</f>
        <v>0.1971324593326611</v>
      </c>
      <c r="R4" s="15">
        <f t="shared" ref="R4" si="11">(R3/Q3)-1</f>
        <v>8.8708200564040496E-2</v>
      </c>
      <c r="S4" s="15">
        <f t="shared" ref="S4" si="12">(S3/R3)-1</f>
        <v>0.12171572750210258</v>
      </c>
      <c r="T4" s="15">
        <f t="shared" ref="T4" si="13">(T3/S3)-1</f>
        <v>4.5046936388447367E-2</v>
      </c>
      <c r="U4" s="15">
        <f t="shared" ref="U4" si="14">(U3/T3)-1</f>
        <v>3.4352130865260344E-2</v>
      </c>
      <c r="V4" s="15">
        <f t="shared" ref="V4" si="15">(V3/U3)-1</f>
        <v>0.16644470340158701</v>
      </c>
      <c r="W4" s="15">
        <f t="shared" ref="W4" si="16">(W3/V3)-1</f>
        <v>5.6754120977141387E-2</v>
      </c>
      <c r="X4" s="15">
        <f t="shared" ref="X4" si="17">(X3/W3)-1</f>
        <v>8.6951628514191803E-2</v>
      </c>
      <c r="Y4" s="15">
        <f t="shared" ref="Y4" si="18">(Y3/X3)-1</f>
        <v>0.11223855870780697</v>
      </c>
      <c r="Z4" s="15">
        <f t="shared" ref="Z4" si="19">(Z3/Y3)-1</f>
        <v>0.15769875256004462</v>
      </c>
      <c r="AA4" s="15">
        <f t="shared" ref="AA4" si="20">(AA3/Z3)-1</f>
        <v>-0.12061756191701511</v>
      </c>
      <c r="AB4" s="16">
        <f t="shared" ref="AB4:AF4" si="21">(AB3/AA3)-1</f>
        <v>7.8639356254571968E-2</v>
      </c>
      <c r="AC4" s="16">
        <f t="shared" si="21"/>
        <v>9.9016615801966745E-2</v>
      </c>
      <c r="AD4" s="16">
        <f t="shared" si="21"/>
        <v>9.5803764270286917E-2</v>
      </c>
      <c r="AE4" s="16">
        <f t="shared" si="21"/>
        <v>5.8003660425172354E-2</v>
      </c>
      <c r="AF4" s="16">
        <f t="shared" si="21"/>
        <v>7.7711244178310102E-2</v>
      </c>
      <c r="AG4" s="17">
        <f>(AA4+Z4+Y4)/3</f>
        <v>4.977324978361216E-2</v>
      </c>
      <c r="AH4" s="17">
        <f>(AA20+Z20+Y20)/3</f>
        <v>-4.0593973685177547E-3</v>
      </c>
      <c r="AI4" s="17">
        <f>(AA29+Z29+Y29)/3</f>
        <v>3.8722390327945631E-2</v>
      </c>
      <c r="AJ4" s="17">
        <f>(AA106+Z106+Y106)/3</f>
        <v>-8.2025723884268462E-3</v>
      </c>
    </row>
    <row r="5" spans="1:36" ht="19" x14ac:dyDescent="0.25">
      <c r="A5" s="5" t="s">
        <v>2</v>
      </c>
      <c r="B5" s="1" t="s">
        <v>91</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91</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G6" s="18" t="s">
        <v>111</v>
      </c>
      <c r="AH6" s="19" t="s">
        <v>112</v>
      </c>
      <c r="AI6" s="19" t="s">
        <v>113</v>
      </c>
      <c r="AJ6" s="19" t="s">
        <v>114</v>
      </c>
    </row>
    <row r="7" spans="1:36" ht="19" x14ac:dyDescent="0.25">
      <c r="A7" s="5" t="s">
        <v>4</v>
      </c>
      <c r="B7" s="2" t="s">
        <v>91</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G7" s="17">
        <f>AA7</f>
        <v>0.70499999999999996</v>
      </c>
      <c r="AH7" s="20">
        <f>AA21</f>
        <v>0.34439999999999998</v>
      </c>
      <c r="AI7" s="20">
        <f>AA30</f>
        <v>0.25130000000000002</v>
      </c>
      <c r="AJ7" s="20">
        <f>AA107/AA3</f>
        <v>0.26956839795171911</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t="e">
        <f>B8/B3</f>
        <v>#VALUE!</v>
      </c>
      <c r="C9" s="15">
        <f t="shared" ref="C9:AA9" si="22">C8/C3</f>
        <v>0</v>
      </c>
      <c r="D9" s="15">
        <f t="shared" si="22"/>
        <v>0</v>
      </c>
      <c r="E9" s="15">
        <f t="shared" si="22"/>
        <v>0</v>
      </c>
      <c r="F9" s="15">
        <f t="shared" si="22"/>
        <v>0</v>
      </c>
      <c r="G9" s="15">
        <f t="shared" si="22"/>
        <v>0</v>
      </c>
      <c r="H9" s="15">
        <f t="shared" si="22"/>
        <v>0</v>
      </c>
      <c r="I9" s="15">
        <f t="shared" si="22"/>
        <v>0</v>
      </c>
      <c r="J9" s="15">
        <f t="shared" si="22"/>
        <v>0</v>
      </c>
      <c r="K9" s="15">
        <f t="shared" si="22"/>
        <v>0</v>
      </c>
      <c r="L9" s="15">
        <f t="shared" si="22"/>
        <v>0</v>
      </c>
      <c r="M9" s="15">
        <f t="shared" si="22"/>
        <v>0</v>
      </c>
      <c r="N9" s="15">
        <f t="shared" si="22"/>
        <v>0</v>
      </c>
      <c r="O9" s="15">
        <f t="shared" si="22"/>
        <v>0</v>
      </c>
      <c r="P9" s="15">
        <f t="shared" si="22"/>
        <v>0</v>
      </c>
      <c r="Q9" s="15">
        <f t="shared" si="22"/>
        <v>0</v>
      </c>
      <c r="R9" s="15">
        <f t="shared" si="22"/>
        <v>0</v>
      </c>
      <c r="S9" s="15">
        <f t="shared" si="22"/>
        <v>0</v>
      </c>
      <c r="T9" s="15">
        <f t="shared" si="22"/>
        <v>0</v>
      </c>
      <c r="U9" s="15">
        <f t="shared" si="22"/>
        <v>0</v>
      </c>
      <c r="V9" s="15">
        <f t="shared" si="22"/>
        <v>0</v>
      </c>
      <c r="W9" s="15">
        <f t="shared" si="22"/>
        <v>0</v>
      </c>
      <c r="X9" s="15">
        <f t="shared" si="22"/>
        <v>0</v>
      </c>
      <c r="Y9" s="15">
        <f t="shared" si="22"/>
        <v>0</v>
      </c>
      <c r="Z9" s="15">
        <f t="shared" si="22"/>
        <v>0</v>
      </c>
      <c r="AA9" s="15">
        <f t="shared" si="22"/>
        <v>0</v>
      </c>
      <c r="AG9" s="18" t="s">
        <v>95</v>
      </c>
      <c r="AH9" s="19" t="s">
        <v>96</v>
      </c>
      <c r="AI9" s="19" t="s">
        <v>97</v>
      </c>
      <c r="AJ9" s="19" t="s">
        <v>98</v>
      </c>
    </row>
    <row r="10" spans="1:36" ht="19" x14ac:dyDescent="0.25">
      <c r="A10" s="5" t="s">
        <v>6</v>
      </c>
      <c r="B10" s="1" t="s">
        <v>91</v>
      </c>
      <c r="C10" s="1">
        <v>776000000</v>
      </c>
      <c r="D10" s="1">
        <v>791300000</v>
      </c>
      <c r="E10" s="1">
        <v>107600000</v>
      </c>
      <c r="F10" s="1">
        <v>141600000</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G10" s="17">
        <f>AA9</f>
        <v>0</v>
      </c>
      <c r="AH10" s="20">
        <f>AA13</f>
        <v>0.27926115581565469</v>
      </c>
      <c r="AI10" s="20">
        <f>AA80</f>
        <v>3.0907095830285298E-2</v>
      </c>
      <c r="AJ10" s="20">
        <f>AA89</f>
        <v>5.1755669348939284E-2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row>
    <row r="12" spans="1:36" ht="20" x14ac:dyDescent="0.25">
      <c r="A12" s="5" t="s">
        <v>8</v>
      </c>
      <c r="B12" s="1" t="s">
        <v>91</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115</v>
      </c>
      <c r="AH12" s="19" t="s">
        <v>116</v>
      </c>
      <c r="AI12" s="19" t="s">
        <v>117</v>
      </c>
      <c r="AJ12" s="19" t="s">
        <v>118</v>
      </c>
    </row>
    <row r="13" spans="1:36" ht="19" x14ac:dyDescent="0.25">
      <c r="A13" s="14" t="s">
        <v>99</v>
      </c>
      <c r="B13" s="15" t="e">
        <f>B12/B3</f>
        <v>#VALUE!</v>
      </c>
      <c r="C13" s="15">
        <f t="shared" ref="C13:AA13" si="23">C12/C3</f>
        <v>0.40113724476608942</v>
      </c>
      <c r="D13" s="15">
        <f t="shared" si="23"/>
        <v>0.40130844913277208</v>
      </c>
      <c r="E13" s="15">
        <f t="shared" si="23"/>
        <v>0.17864851402955337</v>
      </c>
      <c r="F13" s="15">
        <f t="shared" si="23"/>
        <v>0.17773314924061756</v>
      </c>
      <c r="G13" s="15">
        <f t="shared" si="23"/>
        <v>0.17130851167790481</v>
      </c>
      <c r="H13" s="15">
        <f t="shared" si="23"/>
        <v>0.16332424193807155</v>
      </c>
      <c r="I13" s="15">
        <f t="shared" si="23"/>
        <v>0.16853229507056941</v>
      </c>
      <c r="J13" s="15">
        <f t="shared" si="23"/>
        <v>0.17550242550242551</v>
      </c>
      <c r="K13" s="15">
        <f t="shared" si="23"/>
        <v>0.17637818467429189</v>
      </c>
      <c r="L13" s="15">
        <f t="shared" si="23"/>
        <v>0.19969012837538733</v>
      </c>
      <c r="M13" s="15">
        <f t="shared" si="23"/>
        <v>0.2513956932892788</v>
      </c>
      <c r="N13" s="15">
        <f t="shared" si="23"/>
        <v>0.27581793901624752</v>
      </c>
      <c r="O13" s="15">
        <f t="shared" si="23"/>
        <v>0.28937007874015747</v>
      </c>
      <c r="P13" s="15">
        <f t="shared" si="23"/>
        <v>0.27605559696584381</v>
      </c>
      <c r="Q13" s="15">
        <f t="shared" si="23"/>
        <v>0.27550086071127716</v>
      </c>
      <c r="R13" s="15">
        <f t="shared" si="23"/>
        <v>0.27656854499579481</v>
      </c>
      <c r="S13" s="15">
        <f t="shared" si="23"/>
        <v>0.26071439282608044</v>
      </c>
      <c r="T13" s="15">
        <f t="shared" si="23"/>
        <v>0.26439948342660352</v>
      </c>
      <c r="U13" s="15">
        <f t="shared" si="23"/>
        <v>0.25980800177570612</v>
      </c>
      <c r="V13" s="15">
        <f t="shared" si="23"/>
        <v>0.23581741633167622</v>
      </c>
      <c r="W13" s="15">
        <f t="shared" si="23"/>
        <v>0.24311792378508565</v>
      </c>
      <c r="X13" s="15">
        <f t="shared" si="23"/>
        <v>0.24166494098156968</v>
      </c>
      <c r="Y13" s="15">
        <f t="shared" si="23"/>
        <v>0.22882144851982872</v>
      </c>
      <c r="Z13" s="15">
        <f t="shared" si="23"/>
        <v>0.23801865551624315</v>
      </c>
      <c r="AA13" s="15">
        <f t="shared" si="23"/>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91</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91</v>
      </c>
    </row>
    <row r="15" spans="1:36" ht="20" x14ac:dyDescent="0.25">
      <c r="A15" s="5" t="s">
        <v>10</v>
      </c>
      <c r="B15" s="1" t="s">
        <v>91</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119</v>
      </c>
      <c r="AH15" s="19" t="s">
        <v>120</v>
      </c>
      <c r="AI15" s="19" t="s">
        <v>121</v>
      </c>
      <c r="AJ15" s="19" t="s">
        <v>122</v>
      </c>
    </row>
    <row r="16" spans="1:36" ht="19" x14ac:dyDescent="0.25">
      <c r="A16" s="5" t="s">
        <v>11</v>
      </c>
      <c r="B16" s="1" t="s">
        <v>91</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5">
        <f>(AA35+Z35+Y35+X35+W35)/5</f>
        <v>-6.5546539360924819E-3</v>
      </c>
      <c r="AH16" s="26">
        <f>AI101/AA3</f>
        <v>11.395590709583029</v>
      </c>
      <c r="AI16" s="26">
        <f>AI101/AA28</f>
        <v>45.350138282387192</v>
      </c>
      <c r="AJ16" s="27">
        <f>AI101/AA107</f>
        <v>42.273466757123472</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6" ht="20" x14ac:dyDescent="0.25">
      <c r="A18" s="5" t="s">
        <v>13</v>
      </c>
      <c r="B18" s="1" t="s">
        <v>91</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91</v>
      </c>
      <c r="AG18" s="18" t="s">
        <v>156</v>
      </c>
      <c r="AH18" s="19" t="s">
        <v>162</v>
      </c>
      <c r="AI18" s="19" t="s">
        <v>163</v>
      </c>
      <c r="AJ18" s="19" t="s">
        <v>164</v>
      </c>
    </row>
    <row r="19" spans="1:36" ht="19" x14ac:dyDescent="0.25">
      <c r="A19" s="6" t="s">
        <v>14</v>
      </c>
      <c r="B19" s="10" t="s">
        <v>91</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B19" s="33">
        <v>2601000000</v>
      </c>
      <c r="AC19" s="33">
        <v>3007000000</v>
      </c>
      <c r="AD19" s="33">
        <v>3400000000</v>
      </c>
      <c r="AE19" s="33">
        <v>3640000000</v>
      </c>
      <c r="AF19" s="33">
        <v>3997000000</v>
      </c>
      <c r="AG19" s="30">
        <f>AA40-AA56-AA61</f>
        <v>-6004000000</v>
      </c>
      <c r="AH19" s="40">
        <f>AI101/AB3</f>
        <v>10.564782977280434</v>
      </c>
      <c r="AI19" s="40">
        <f>AI101/AB28</f>
        <v>34.713699164345407</v>
      </c>
      <c r="AJ19" s="41">
        <f>AI101/AB106</f>
        <v>33.827953311617804</v>
      </c>
    </row>
    <row r="20" spans="1:36" ht="19" customHeight="1" x14ac:dyDescent="0.25">
      <c r="A20" s="14" t="s">
        <v>100</v>
      </c>
      <c r="B20" s="1"/>
      <c r="C20" s="15" t="e">
        <f>(C19/B19)-1</f>
        <v>#VALUE!</v>
      </c>
      <c r="D20" s="15">
        <f>(D19/C19)-1</f>
        <v>1.2171796209354824E-3</v>
      </c>
      <c r="E20" s="15">
        <f>(E19/D19)-1</f>
        <v>-0.47794373046196592</v>
      </c>
      <c r="F20" s="15">
        <f t="shared" ref="F20:T20" si="24">(F19/E19)-1</f>
        <v>0.32701264138389896</v>
      </c>
      <c r="G20" s="15">
        <f t="shared" si="24"/>
        <v>0.3587365254449737</v>
      </c>
      <c r="H20" s="15">
        <f t="shared" si="24"/>
        <v>0.27121771217712176</v>
      </c>
      <c r="I20" s="15">
        <f t="shared" si="24"/>
        <v>0.16894049346879525</v>
      </c>
      <c r="J20" s="15">
        <f t="shared" si="24"/>
        <v>0.20424633722373975</v>
      </c>
      <c r="K20" s="15">
        <f t="shared" si="24"/>
        <v>0.34034436539849477</v>
      </c>
      <c r="L20" s="15">
        <f t="shared" si="24"/>
        <v>-0.10799999999999998</v>
      </c>
      <c r="M20" s="15">
        <f t="shared" si="24"/>
        <v>-0.30933080372542254</v>
      </c>
      <c r="N20" s="15">
        <f t="shared" si="24"/>
        <v>-7.4666000749157191E-2</v>
      </c>
      <c r="O20" s="15">
        <f t="shared" si="24"/>
        <v>0.12090136283902297</v>
      </c>
      <c r="P20" s="15">
        <f t="shared" si="24"/>
        <v>0.17948717948717952</v>
      </c>
      <c r="Q20" s="15">
        <f t="shared" si="24"/>
        <v>0.20106144111043078</v>
      </c>
      <c r="R20" s="15">
        <f t="shared" si="24"/>
        <v>0.14598912304554723</v>
      </c>
      <c r="S20" s="15">
        <f t="shared" si="24"/>
        <v>0.23298235206881213</v>
      </c>
      <c r="T20" s="15">
        <f t="shared" si="24"/>
        <v>-3.1994226605725262E-2</v>
      </c>
      <c r="U20" s="15">
        <f t="shared" ref="U20" si="25">(U19/T19)-1</f>
        <v>-0.48794731610337971</v>
      </c>
      <c r="V20" s="15">
        <f t="shared" ref="V20" si="26">(V19/U19)-1</f>
        <v>1.5993690851735014</v>
      </c>
      <c r="W20" s="15">
        <f t="shared" ref="W20" si="27">(W19/V19)-1</f>
        <v>-2.7352501867064949E-2</v>
      </c>
      <c r="X20" s="15">
        <f t="shared" ref="X20" si="28">(X19/W19)-1</f>
        <v>6.9200499088204248E-2</v>
      </c>
      <c r="Y20" s="15">
        <f t="shared" ref="Y20" si="29">(Y19/X19)-1</f>
        <v>0.196588868940754</v>
      </c>
      <c r="Z20" s="15">
        <f t="shared" ref="Z20" si="30">(Z19/Y19)-1</f>
        <v>0.20517629407351845</v>
      </c>
      <c r="AA20" s="15">
        <f t="shared" ref="AA20" si="31">(AA19/Z19)-1</f>
        <v>-0.41394335511982572</v>
      </c>
      <c r="AB20" s="16">
        <f t="shared" ref="AB20" si="32">(AB19/AA19)-1</f>
        <v>0.38130642591609143</v>
      </c>
      <c r="AC20" s="16">
        <f t="shared" ref="AC20" si="33">(AC19/AB19)-1</f>
        <v>0.1560938100730489</v>
      </c>
      <c r="AD20" s="16">
        <f t="shared" ref="AD20" si="34">(AD19/AC19)-1</f>
        <v>0.13069504489524442</v>
      </c>
      <c r="AE20" s="16">
        <f t="shared" ref="AE20" si="35">(AE19/AD19)-1</f>
        <v>7.0588235294117618E-2</v>
      </c>
      <c r="AF20" s="16">
        <f t="shared" ref="AF20" si="36">(AF19/AE19)-1</f>
        <v>9.8076923076923173E-2</v>
      </c>
    </row>
    <row r="21" spans="1:36" ht="20" x14ac:dyDescent="0.25">
      <c r="A21" s="5" t="s">
        <v>15</v>
      </c>
      <c r="B21" s="2" t="s">
        <v>91</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c r="AB21" s="34">
        <f>AB19/AB3</f>
        <v>0.4409969481180061</v>
      </c>
      <c r="AC21" s="34">
        <f t="shared" ref="AC21:AF21" si="37">AC19/AC3</f>
        <v>0.46390003085467446</v>
      </c>
      <c r="AD21" s="34">
        <f t="shared" si="37"/>
        <v>0.47867098409122905</v>
      </c>
      <c r="AE21" s="34">
        <f t="shared" si="37"/>
        <v>0.48436460412508314</v>
      </c>
      <c r="AF21" s="34">
        <f t="shared" si="37"/>
        <v>0.49351771823681934</v>
      </c>
      <c r="AI21" s="18" t="s">
        <v>165</v>
      </c>
      <c r="AJ21" s="19" t="s">
        <v>166</v>
      </c>
    </row>
    <row r="22" spans="1:36" ht="19" x14ac:dyDescent="0.25">
      <c r="A22" s="6" t="s">
        <v>16</v>
      </c>
      <c r="B22" s="10" t="s">
        <v>91</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c r="AI22" s="42">
        <f>(-1*AA98)/AI101</f>
        <v>8.2649814021869949E-3</v>
      </c>
      <c r="AJ22" s="43">
        <f>AA107/AI101</f>
        <v>2.3655500168589572E-2</v>
      </c>
    </row>
    <row r="23" spans="1:36" ht="19" x14ac:dyDescent="0.25">
      <c r="A23" s="5" t="s">
        <v>17</v>
      </c>
      <c r="B23" s="2" t="s">
        <v>91</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6" ht="19" x14ac:dyDescent="0.25">
      <c r="A24" s="5" t="s">
        <v>18</v>
      </c>
      <c r="B24" s="1" t="s">
        <v>91</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6" ht="19" x14ac:dyDescent="0.25">
      <c r="A25" s="6" t="s">
        <v>19</v>
      </c>
      <c r="B25" s="10" t="s">
        <v>91</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6" ht="19" x14ac:dyDescent="0.25">
      <c r="A26" s="5" t="s">
        <v>20</v>
      </c>
      <c r="B26" s="2" t="s">
        <v>91</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6" ht="19" x14ac:dyDescent="0.25">
      <c r="A27" s="5" t="s">
        <v>21</v>
      </c>
      <c r="B27" s="1" t="s">
        <v>91</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6" ht="20" thickBot="1" x14ac:dyDescent="0.3">
      <c r="A28" s="7" t="s">
        <v>22</v>
      </c>
      <c r="B28" s="11" t="s">
        <v>91</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c r="AB28" s="35">
        <v>1795000000</v>
      </c>
      <c r="AC28" s="35">
        <v>2028000000</v>
      </c>
      <c r="AD28" s="35">
        <v>2280000000</v>
      </c>
      <c r="AE28" s="35">
        <v>2504000000</v>
      </c>
      <c r="AF28" s="35">
        <v>2797000000</v>
      </c>
    </row>
    <row r="29" spans="1:36" ht="20" customHeight="1" thickTop="1" x14ac:dyDescent="0.25">
      <c r="A29" s="14" t="s">
        <v>101</v>
      </c>
      <c r="B29" s="1"/>
      <c r="C29" s="15" t="e">
        <f>(C28/B28)-1</f>
        <v>#VALUE!</v>
      </c>
      <c r="D29" s="15">
        <f>(D28/C28)-1</f>
        <v>-8.6040699750089211E-2</v>
      </c>
      <c r="E29" s="15">
        <f>(E28/D28)-1</f>
        <v>-0.380859375</v>
      </c>
      <c r="F29" s="15">
        <f t="shared" ref="F29:T29" si="38">(F28/E28)-1</f>
        <v>0.33880126182965298</v>
      </c>
      <c r="G29" s="15">
        <f t="shared" si="38"/>
        <v>0.3614514608859567</v>
      </c>
      <c r="H29" s="15">
        <f t="shared" si="38"/>
        <v>0.25960539979231578</v>
      </c>
      <c r="I29" s="15">
        <f t="shared" si="38"/>
        <v>0.16817807089859849</v>
      </c>
      <c r="J29" s="15">
        <f t="shared" si="38"/>
        <v>0.31921900729240171</v>
      </c>
      <c r="K29" s="15">
        <f t="shared" si="38"/>
        <v>0.34432952924393723</v>
      </c>
      <c r="L29" s="15">
        <f t="shared" si="38"/>
        <v>-6.950523942167397E-2</v>
      </c>
      <c r="M29" s="15">
        <f t="shared" si="38"/>
        <v>-0.34768353528153961</v>
      </c>
      <c r="N29" s="15">
        <f t="shared" si="38"/>
        <v>-0.12150349650349646</v>
      </c>
      <c r="O29" s="15">
        <f t="shared" si="38"/>
        <v>0.26318407960198997</v>
      </c>
      <c r="P29" s="15">
        <f t="shared" si="38"/>
        <v>0.12524615990547461</v>
      </c>
      <c r="Q29" s="15">
        <f t="shared" si="38"/>
        <v>0.20756037801890104</v>
      </c>
      <c r="R29" s="15">
        <f t="shared" si="38"/>
        <v>0.16594202898550714</v>
      </c>
      <c r="S29" s="15">
        <f t="shared" si="38"/>
        <v>0.22896208825357367</v>
      </c>
      <c r="T29" s="15">
        <f t="shared" si="38"/>
        <v>-4.7941741680995298E-2</v>
      </c>
      <c r="U29" s="15">
        <f t="shared" ref="U29" si="39">(U28/T28)-1</f>
        <v>-0.71677467332412625</v>
      </c>
      <c r="V29" s="15">
        <f t="shared" ref="V29" si="40">(V28/U28)-1</f>
        <v>2.7531882970742685</v>
      </c>
      <c r="W29" s="15">
        <f t="shared" ref="W29" si="41">(W28/V28)-1</f>
        <v>0.30881471117329595</v>
      </c>
      <c r="X29" s="15">
        <f t="shared" ref="X29" si="42">(X28/W28)-1</f>
        <v>8.5827733659132655E-2</v>
      </c>
      <c r="Y29" s="15">
        <f t="shared" ref="Y29" si="43">(Y28/X28)-1</f>
        <v>0.25035161744022494</v>
      </c>
      <c r="Z29" s="15">
        <f t="shared" ref="Z29" si="44">(Z28/Y28)-1</f>
        <v>0.24521934758155228</v>
      </c>
      <c r="AA29" s="15">
        <f t="shared" ref="AA29" si="45">(AA28/Z28)-1</f>
        <v>-0.37940379403794033</v>
      </c>
      <c r="AB29" s="16">
        <f t="shared" ref="AB29" si="46">(AB28/AA28)-1</f>
        <v>0.30640465793304217</v>
      </c>
      <c r="AC29" s="16">
        <f t="shared" ref="AC29" si="47">(AC28/AB28)-1</f>
        <v>0.1298050139275766</v>
      </c>
      <c r="AD29" s="16">
        <f t="shared" ref="AD29" si="48">(AD28/AC28)-1</f>
        <v>0.12426035502958577</v>
      </c>
      <c r="AE29" s="16">
        <f t="shared" ref="AE29" si="49">(AE28/AD28)-1</f>
        <v>9.8245614035087803E-2</v>
      </c>
      <c r="AF29" s="16">
        <f t="shared" ref="AF29" si="50">(AF28/AE28)-1</f>
        <v>0.11701277955271561</v>
      </c>
    </row>
    <row r="30" spans="1:36" ht="19" x14ac:dyDescent="0.25">
      <c r="A30" s="5" t="s">
        <v>23</v>
      </c>
      <c r="B30" s="2" t="s">
        <v>91</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c r="AB30" s="36">
        <f>AB28/AB3</f>
        <v>0.30434045439131907</v>
      </c>
      <c r="AC30" s="36">
        <f t="shared" ref="AC30:AF30" si="51">AC28/AC3</f>
        <v>0.31286639925948784</v>
      </c>
      <c r="AD30" s="36">
        <f t="shared" si="51"/>
        <v>0.32099113050823597</v>
      </c>
      <c r="AE30" s="36">
        <f t="shared" si="51"/>
        <v>0.33320026613439785</v>
      </c>
      <c r="AF30" s="36">
        <f t="shared" si="51"/>
        <v>0.3453512779355476</v>
      </c>
    </row>
    <row r="31" spans="1:36" ht="19" x14ac:dyDescent="0.25">
      <c r="A31" s="5" t="s">
        <v>24</v>
      </c>
      <c r="B31" s="12" t="s">
        <v>91</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c r="AB31" s="37">
        <v>9.7799999999999994</v>
      </c>
      <c r="AC31" s="37">
        <v>11.05</v>
      </c>
      <c r="AD31" s="37">
        <v>12.42</v>
      </c>
      <c r="AE31" s="37">
        <v>13.65</v>
      </c>
      <c r="AF31" s="37">
        <v>15.24</v>
      </c>
    </row>
    <row r="32" spans="1:36" ht="19" x14ac:dyDescent="0.25">
      <c r="A32" s="5" t="s">
        <v>25</v>
      </c>
      <c r="B32" s="12" t="s">
        <v>91</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91</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91</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102</v>
      </c>
      <c r="B35" s="1"/>
      <c r="C35" s="22" t="e">
        <f>(C34-B34)/B34</f>
        <v>#VALUE!</v>
      </c>
      <c r="D35" s="22">
        <f t="shared" ref="D35:T35" si="52">(D34-C34)/C34</f>
        <v>-4.320833066399539E-2</v>
      </c>
      <c r="E35" s="22">
        <f t="shared" si="52"/>
        <v>-7.8157337293954365E-3</v>
      </c>
      <c r="F35" s="22">
        <f t="shared" si="52"/>
        <v>-1.7177914110429449E-2</v>
      </c>
      <c r="G35" s="22">
        <f t="shared" si="52"/>
        <v>-1.6853932584269662E-2</v>
      </c>
      <c r="H35" s="22">
        <f t="shared" si="52"/>
        <v>-3.3015873015873019E-2</v>
      </c>
      <c r="I35" s="22">
        <f t="shared" si="52"/>
        <v>0</v>
      </c>
      <c r="J35" s="22">
        <f t="shared" si="52"/>
        <v>3.2829940906106371E-3</v>
      </c>
      <c r="K35" s="22">
        <f t="shared" si="52"/>
        <v>-4.4829842931937175E-2</v>
      </c>
      <c r="L35" s="22">
        <f t="shared" si="52"/>
        <v>-6.7488866050017124E-2</v>
      </c>
      <c r="M35" s="22">
        <f t="shared" si="52"/>
        <v>-9.8824393828067597E-2</v>
      </c>
      <c r="N35" s="22">
        <f t="shared" si="52"/>
        <v>-3.0574806359559722E-2</v>
      </c>
      <c r="O35" s="22">
        <f t="shared" si="52"/>
        <v>-5.0462573591253156E-3</v>
      </c>
      <c r="P35" s="22">
        <f t="shared" si="52"/>
        <v>-3.0431107354184278E-2</v>
      </c>
      <c r="Q35" s="22">
        <f t="shared" si="52"/>
        <v>-1.2205754141238012E-2</v>
      </c>
      <c r="R35" s="22">
        <f t="shared" si="52"/>
        <v>-1.3680494263018535E-2</v>
      </c>
      <c r="S35" s="22">
        <f t="shared" si="52"/>
        <v>-3.9373601789709174E-2</v>
      </c>
      <c r="T35" s="22">
        <f t="shared" si="52"/>
        <v>-5.2631578947368418E-2</v>
      </c>
      <c r="U35" s="22">
        <f t="shared" ref="U35" si="53">(U34-T34)/T34</f>
        <v>-3.9331366764995081E-2</v>
      </c>
      <c r="V35" s="22">
        <f t="shared" ref="V35" si="54">(V34-U34)/U34</f>
        <v>-6.1412487205731829E-3</v>
      </c>
      <c r="W35" s="22">
        <f t="shared" ref="W35" si="55">(W34-V34)/V34</f>
        <v>1.0298661174047373E-3</v>
      </c>
      <c r="X35" s="22">
        <f t="shared" ref="X35" si="56">(X34-W34)/W34</f>
        <v>-1.4403292181069959E-2</v>
      </c>
      <c r="Y35" s="22">
        <f t="shared" ref="Y35" si="57">(Y34-X34)/X34</f>
        <v>-1.2004175365344467E-2</v>
      </c>
      <c r="Z35" s="22">
        <f t="shared" ref="Z35" si="58">(Z34-Y34)/Y34</f>
        <v>-7.3956682514527208E-3</v>
      </c>
      <c r="AA35" s="22">
        <f t="shared" ref="AA35" si="59">(AA34-Z34)/Z34</f>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91</v>
      </c>
      <c r="C39" s="1" t="s">
        <v>91</v>
      </c>
      <c r="D39" s="1" t="s">
        <v>91</v>
      </c>
      <c r="E39" s="1" t="s">
        <v>91</v>
      </c>
      <c r="F39" s="1" t="s">
        <v>91</v>
      </c>
      <c r="G39" s="1" t="s">
        <v>91</v>
      </c>
      <c r="H39" s="1" t="s">
        <v>91</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91</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91</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91</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91</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91</v>
      </c>
      <c r="C46" s="1" t="s">
        <v>91</v>
      </c>
      <c r="D46" s="1" t="s">
        <v>91</v>
      </c>
      <c r="E46" s="1" t="s">
        <v>91</v>
      </c>
      <c r="F46" s="1" t="s">
        <v>91</v>
      </c>
      <c r="G46" s="1" t="s">
        <v>91</v>
      </c>
      <c r="H46" s="1" t="s">
        <v>91</v>
      </c>
      <c r="I46" s="1" t="s">
        <v>91</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91</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91</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t="s">
        <v>91</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91</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91</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19" x14ac:dyDescent="0.25">
      <c r="A54" s="7" t="s">
        <v>46</v>
      </c>
      <c r="B54" s="11" t="s">
        <v>91</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91</v>
      </c>
      <c r="C55" s="1" t="s">
        <v>91</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91</v>
      </c>
      <c r="AA55" s="1" t="s">
        <v>91</v>
      </c>
    </row>
    <row r="56" spans="1:27" ht="19" x14ac:dyDescent="0.25">
      <c r="A56" s="5" t="s">
        <v>48</v>
      </c>
      <c r="B56" s="1" t="s">
        <v>91</v>
      </c>
      <c r="C56" s="1">
        <v>127300000</v>
      </c>
      <c r="D56" s="1" t="s">
        <v>91</v>
      </c>
      <c r="E56" s="1" t="s">
        <v>91</v>
      </c>
      <c r="F56" s="1">
        <v>107100000</v>
      </c>
      <c r="G56" s="1" t="s">
        <v>91</v>
      </c>
      <c r="H56" s="1">
        <v>300000000</v>
      </c>
      <c r="I56" s="1" t="s">
        <v>91</v>
      </c>
      <c r="J56" s="1" t="s">
        <v>91</v>
      </c>
      <c r="K56" s="1">
        <v>551900000</v>
      </c>
      <c r="L56" s="1">
        <v>717700000</v>
      </c>
      <c r="M56" s="1">
        <v>3800000</v>
      </c>
      <c r="N56" s="1">
        <v>11300000</v>
      </c>
      <c r="O56" s="1">
        <v>71300000</v>
      </c>
      <c r="P56" s="1">
        <v>63800000</v>
      </c>
      <c r="Q56" s="1" t="s">
        <v>91</v>
      </c>
      <c r="R56" s="1" t="s">
        <v>91</v>
      </c>
      <c r="S56" s="1" t="s">
        <v>91</v>
      </c>
      <c r="T56" s="1">
        <v>300000000</v>
      </c>
      <c r="U56" s="1">
        <v>299500000</v>
      </c>
      <c r="V56" s="1">
        <v>449900000</v>
      </c>
      <c r="W56" s="1" t="s">
        <v>91</v>
      </c>
      <c r="X56" s="1">
        <v>94000000</v>
      </c>
      <c r="Y56" s="1">
        <v>105000000</v>
      </c>
      <c r="Z56" s="1">
        <v>104000000</v>
      </c>
      <c r="AA56" s="1">
        <v>106000000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128000000</v>
      </c>
      <c r="Y57" s="1">
        <v>115000000</v>
      </c>
      <c r="Z57" s="1" t="s">
        <v>91</v>
      </c>
      <c r="AA57" s="1" t="s">
        <v>91</v>
      </c>
    </row>
    <row r="58" spans="1:27" ht="19" x14ac:dyDescent="0.25">
      <c r="A58" s="5" t="s">
        <v>50</v>
      </c>
      <c r="B58" s="1" t="s">
        <v>91</v>
      </c>
      <c r="C58" s="1" t="s">
        <v>91</v>
      </c>
      <c r="D58" s="1" t="s">
        <v>91</v>
      </c>
      <c r="E58" s="1" t="s">
        <v>91</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91</v>
      </c>
      <c r="C59" s="1">
        <v>1287500000</v>
      </c>
      <c r="D59" s="1">
        <v>117700000</v>
      </c>
      <c r="E59" s="1">
        <v>122400000</v>
      </c>
      <c r="F59" s="1" t="s">
        <v>91</v>
      </c>
      <c r="G59" s="1" t="s">
        <v>91</v>
      </c>
      <c r="H59" s="1" t="s">
        <v>91</v>
      </c>
      <c r="I59" s="1" t="s">
        <v>91</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91</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91</v>
      </c>
      <c r="C61" s="1" t="s">
        <v>91</v>
      </c>
      <c r="D61" s="1">
        <v>300000000</v>
      </c>
      <c r="E61" s="1">
        <v>300000000</v>
      </c>
      <c r="F61" s="1">
        <v>328500000</v>
      </c>
      <c r="G61" s="1">
        <v>300000000</v>
      </c>
      <c r="H61" s="1" t="s">
        <v>91</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91</v>
      </c>
      <c r="C63" s="1" t="s">
        <v>91</v>
      </c>
      <c r="D63" s="1" t="s">
        <v>91</v>
      </c>
      <c r="E63" s="1" t="s">
        <v>91</v>
      </c>
      <c r="F63" s="1" t="s">
        <v>91</v>
      </c>
      <c r="G63" s="1" t="s">
        <v>91</v>
      </c>
      <c r="H63" s="1" t="s">
        <v>91</v>
      </c>
      <c r="I63" s="1" t="s">
        <v>91</v>
      </c>
      <c r="J63" s="1" t="s">
        <v>91</v>
      </c>
      <c r="K63" s="1" t="s">
        <v>91</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91</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91</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91</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91</v>
      </c>
      <c r="AA68" s="1" t="s">
        <v>91</v>
      </c>
    </row>
    <row r="69" spans="1:27" ht="19" x14ac:dyDescent="0.25">
      <c r="A69" s="5" t="s">
        <v>60</v>
      </c>
      <c r="B69" s="1" t="s">
        <v>91</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91</v>
      </c>
      <c r="AA69" s="1">
        <v>14136000000</v>
      </c>
    </row>
    <row r="70" spans="1:27" ht="19" x14ac:dyDescent="0.25">
      <c r="A70" s="5" t="s">
        <v>61</v>
      </c>
      <c r="B70" s="1" t="s">
        <v>91</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91</v>
      </c>
      <c r="AA70" s="1" t="s">
        <v>91</v>
      </c>
    </row>
    <row r="71" spans="1:27" ht="19" x14ac:dyDescent="0.25">
      <c r="A71" s="5" t="s">
        <v>62</v>
      </c>
      <c r="B71" s="1" t="s">
        <v>91</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91</v>
      </c>
    </row>
    <row r="72" spans="1:27" ht="19" x14ac:dyDescent="0.25">
      <c r="A72" s="6" t="s">
        <v>63</v>
      </c>
      <c r="B72" s="10" t="s">
        <v>91</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91</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t="s">
        <v>91</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v>1374000000</v>
      </c>
    </row>
    <row r="77" spans="1:27" ht="19" x14ac:dyDescent="0.25">
      <c r="A77" s="5" t="s">
        <v>13</v>
      </c>
      <c r="B77" s="1" t="s">
        <v>91</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v>331000000</v>
      </c>
    </row>
    <row r="78" spans="1:27" ht="19" x14ac:dyDescent="0.25">
      <c r="A78" s="5" t="s">
        <v>67</v>
      </c>
      <c r="B78" s="1" t="s">
        <v>91</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v>48000000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169000000</v>
      </c>
    </row>
    <row r="80" spans="1:27" ht="19" x14ac:dyDescent="0.25">
      <c r="A80" s="14" t="s">
        <v>103</v>
      </c>
      <c r="B80" s="15" t="e">
        <f t="shared" ref="B80:AA80" si="60">B79/B3</f>
        <v>#VALUE!</v>
      </c>
      <c r="C80" s="15" t="e">
        <f t="shared" si="60"/>
        <v>#VALUE!</v>
      </c>
      <c r="D80" s="15" t="e">
        <f t="shared" si="60"/>
        <v>#VALUE!</v>
      </c>
      <c r="E80" s="15" t="e">
        <f t="shared" si="60"/>
        <v>#VALUE!</v>
      </c>
      <c r="F80" s="15" t="e">
        <f t="shared" si="60"/>
        <v>#VALUE!</v>
      </c>
      <c r="G80" s="15" t="e">
        <f t="shared" si="60"/>
        <v>#VALUE!</v>
      </c>
      <c r="H80" s="15" t="e">
        <f t="shared" si="60"/>
        <v>#VALUE!</v>
      </c>
      <c r="I80" s="15" t="e">
        <f t="shared" si="60"/>
        <v>#VALUE!</v>
      </c>
      <c r="J80" s="15" t="e">
        <f t="shared" si="60"/>
        <v>#VALUE!</v>
      </c>
      <c r="K80" s="15" t="e">
        <f t="shared" si="60"/>
        <v>#VALUE!</v>
      </c>
      <c r="L80" s="15" t="e">
        <f t="shared" si="60"/>
        <v>#VALUE!</v>
      </c>
      <c r="M80" s="15" t="e">
        <f t="shared" si="60"/>
        <v>#VALUE!</v>
      </c>
      <c r="N80" s="15">
        <f t="shared" si="60"/>
        <v>3.1938571110616515E-2</v>
      </c>
      <c r="O80" s="15">
        <f t="shared" si="60"/>
        <v>2.7854330708661418E-2</v>
      </c>
      <c r="P80" s="15">
        <f t="shared" si="60"/>
        <v>2.486078835445258E-2</v>
      </c>
      <c r="Q80" s="15">
        <f t="shared" si="60"/>
        <v>2.362377760685639E-2</v>
      </c>
      <c r="R80" s="15">
        <f t="shared" si="60"/>
        <v>2.2573591253153912E-2</v>
      </c>
      <c r="S80" s="15">
        <f t="shared" si="60"/>
        <v>2.4113007227903906E-2</v>
      </c>
      <c r="T80" s="15">
        <f t="shared" si="60"/>
        <v>2.5025111206772852E-2</v>
      </c>
      <c r="U80" s="15">
        <f t="shared" si="60"/>
        <v>2.7218245380389545E-2</v>
      </c>
      <c r="V80" s="15">
        <f t="shared" si="60"/>
        <v>2.9233367427035514E-2</v>
      </c>
      <c r="W80" s="15">
        <f t="shared" si="60"/>
        <v>2.932901163706755E-2</v>
      </c>
      <c r="X80" s="15">
        <f t="shared" si="60"/>
        <v>2.8163180782770761E-2</v>
      </c>
      <c r="Y80" s="15">
        <f t="shared" si="60"/>
        <v>2.8672500465462668E-2</v>
      </c>
      <c r="Z80" s="15">
        <f t="shared" si="60"/>
        <v>2.8144097780636861E-2</v>
      </c>
      <c r="AA80" s="15">
        <f t="shared" si="60"/>
        <v>3.0907095830285298E-2</v>
      </c>
    </row>
    <row r="81" spans="1:35" ht="19" x14ac:dyDescent="0.25">
      <c r="A81" s="5" t="s">
        <v>69</v>
      </c>
      <c r="B81" s="1" t="s">
        <v>91</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-427000000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v>34000000</v>
      </c>
    </row>
    <row r="83" spans="1:3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H83" s="66" t="s">
        <v>123</v>
      </c>
      <c r="AI83" s="67"/>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68" t="s">
        <v>124</v>
      </c>
      <c r="AI84" s="68"/>
    </row>
    <row r="85" spans="1:35" ht="20" x14ac:dyDescent="0.25">
      <c r="A85" s="5" t="s">
        <v>71</v>
      </c>
      <c r="B85" s="1" t="s">
        <v>91</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v>20000000</v>
      </c>
      <c r="AH85" s="44" t="s">
        <v>125</v>
      </c>
      <c r="AI85" s="45">
        <f>AA17</f>
        <v>231000000</v>
      </c>
    </row>
    <row r="86" spans="1:35" ht="20" x14ac:dyDescent="0.25">
      <c r="A86" s="5" t="s">
        <v>72</v>
      </c>
      <c r="B86" s="1" t="s">
        <v>91</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91</v>
      </c>
      <c r="Z86" s="1">
        <v>-23000000</v>
      </c>
      <c r="AA86" s="1" t="s">
        <v>91</v>
      </c>
      <c r="AH86" s="44" t="s">
        <v>126</v>
      </c>
      <c r="AI86" s="45">
        <f>AA56</f>
        <v>106000000</v>
      </c>
    </row>
    <row r="87" spans="1:35" ht="20" x14ac:dyDescent="0.25">
      <c r="A87" s="6" t="s">
        <v>73</v>
      </c>
      <c r="B87" s="10" t="s">
        <v>91</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H87" s="44" t="s">
        <v>127</v>
      </c>
      <c r="AI87" s="45">
        <f>AA61</f>
        <v>7757000000</v>
      </c>
    </row>
    <row r="88" spans="1:35" ht="20" x14ac:dyDescent="0.25">
      <c r="A88" s="5" t="s">
        <v>74</v>
      </c>
      <c r="B88" s="1" t="s">
        <v>91</v>
      </c>
      <c r="C88" s="1">
        <v>-55400000</v>
      </c>
      <c r="D88" s="1">
        <v>-44100000</v>
      </c>
      <c r="E88" s="1">
        <v>-12300000</v>
      </c>
      <c r="F88" s="1">
        <v>-14800000</v>
      </c>
      <c r="G88" s="1">
        <v>-18100000</v>
      </c>
      <c r="H88" s="1">
        <v>-17900000</v>
      </c>
      <c r="I88" s="1">
        <v>-21300000</v>
      </c>
      <c r="J88" s="1">
        <v>-31300000</v>
      </c>
      <c r="K88" s="1">
        <v>-31100000</v>
      </c>
      <c r="L88" s="1">
        <v>-181800000</v>
      </c>
      <c r="M88" s="1">
        <v>-84400000</v>
      </c>
      <c r="N88" s="1">
        <v>-90600000</v>
      </c>
      <c r="O88" s="1">
        <v>-78600000</v>
      </c>
      <c r="P88" s="1">
        <v>-67200000</v>
      </c>
      <c r="Q88" s="1">
        <v>-44500000</v>
      </c>
      <c r="R88" s="1">
        <v>-42000000</v>
      </c>
      <c r="S88" s="1">
        <v>-74300000</v>
      </c>
      <c r="T88" s="1">
        <v>-88600000</v>
      </c>
      <c r="U88" s="1">
        <v>-115500000</v>
      </c>
      <c r="V88" s="1">
        <v>-90600000</v>
      </c>
      <c r="W88" s="1">
        <v>-91000000</v>
      </c>
      <c r="X88" s="1">
        <v>-69000000</v>
      </c>
      <c r="Y88" s="1">
        <v>-103000000</v>
      </c>
      <c r="Z88" s="1">
        <v>-139000000</v>
      </c>
      <c r="AA88" s="1">
        <v>-283000000</v>
      </c>
      <c r="AH88" s="46" t="s">
        <v>128</v>
      </c>
      <c r="AI88" s="47">
        <f>AI85/(AI86+AI87)</f>
        <v>2.9378099961846624E-2</v>
      </c>
    </row>
    <row r="89" spans="1:35" ht="20" customHeight="1" x14ac:dyDescent="0.25">
      <c r="A89" s="14" t="s">
        <v>104</v>
      </c>
      <c r="B89" s="15" t="e">
        <f t="shared" ref="B89:AA89" si="61">(-1*B88)/B3</f>
        <v>#VALUE!</v>
      </c>
      <c r="C89" s="15">
        <f t="shared" si="61"/>
        <v>2.8637890927888342E-2</v>
      </c>
      <c r="D89" s="15">
        <f t="shared" si="61"/>
        <v>2.2365351455522871E-2</v>
      </c>
      <c r="E89" s="15">
        <f t="shared" si="61"/>
        <v>2.0421716752448946E-2</v>
      </c>
      <c r="F89" s="15">
        <f t="shared" si="61"/>
        <v>1.8576628592945902E-2</v>
      </c>
      <c r="G89" s="15">
        <f t="shared" si="61"/>
        <v>1.7687872569139059E-2</v>
      </c>
      <c r="H89" s="15">
        <f t="shared" si="61"/>
        <v>1.4359056634044602E-2</v>
      </c>
      <c r="I89" s="15">
        <f t="shared" si="61"/>
        <v>1.4809149690606966E-2</v>
      </c>
      <c r="J89" s="15">
        <f t="shared" si="61"/>
        <v>1.8075768075768075E-2</v>
      </c>
      <c r="K89" s="15">
        <f t="shared" si="61"/>
        <v>1.5266800844337538E-2</v>
      </c>
      <c r="L89" s="15">
        <f t="shared" si="61"/>
        <v>8.0478087649402397E-2</v>
      </c>
      <c r="M89" s="15">
        <f t="shared" si="61"/>
        <v>4.8080209638828759E-2</v>
      </c>
      <c r="N89" s="15">
        <f t="shared" si="61"/>
        <v>5.0411751613621186E-2</v>
      </c>
      <c r="O89" s="15">
        <f t="shared" si="61"/>
        <v>3.8681102362204726E-2</v>
      </c>
      <c r="P89" s="15">
        <f t="shared" si="61"/>
        <v>2.9464638049721575E-2</v>
      </c>
      <c r="Q89" s="15">
        <f t="shared" si="61"/>
        <v>1.6298575248141229E-2</v>
      </c>
      <c r="R89" s="15">
        <f t="shared" si="61"/>
        <v>1.4129520605550883E-2</v>
      </c>
      <c r="S89" s="15">
        <f t="shared" si="61"/>
        <v>2.2283537774045528E-2</v>
      </c>
      <c r="T89" s="15">
        <f t="shared" si="61"/>
        <v>2.5426890515138471E-2</v>
      </c>
      <c r="U89" s="15">
        <f t="shared" si="61"/>
        <v>3.204594639587148E-2</v>
      </c>
      <c r="V89" s="15">
        <f t="shared" si="61"/>
        <v>2.1550391284698271E-2</v>
      </c>
      <c r="W89" s="15">
        <f t="shared" si="61"/>
        <v>2.0483039593040268E-2</v>
      </c>
      <c r="X89" s="15">
        <f t="shared" si="61"/>
        <v>1.4288672603023401E-2</v>
      </c>
      <c r="Y89" s="15">
        <f t="shared" si="61"/>
        <v>1.9177061999627629E-2</v>
      </c>
      <c r="Z89" s="15">
        <f t="shared" si="61"/>
        <v>2.2354454808620135E-2</v>
      </c>
      <c r="AA89" s="15">
        <f t="shared" si="61"/>
        <v>5.1755669348939284E-2</v>
      </c>
      <c r="AH89" s="44" t="s">
        <v>105</v>
      </c>
      <c r="AI89" s="45">
        <f>AA27</f>
        <v>386000000</v>
      </c>
    </row>
    <row r="90" spans="1:35" ht="20" x14ac:dyDescent="0.25">
      <c r="A90" s="5" t="s">
        <v>75</v>
      </c>
      <c r="B90" s="1" t="s">
        <v>91</v>
      </c>
      <c r="C90" s="1" t="s">
        <v>91</v>
      </c>
      <c r="D90" s="1" t="s">
        <v>91</v>
      </c>
      <c r="E90" s="1" t="s">
        <v>91</v>
      </c>
      <c r="F90" s="1" t="s">
        <v>91</v>
      </c>
      <c r="G90" s="1" t="s">
        <v>91</v>
      </c>
      <c r="H90" s="1" t="s">
        <v>91</v>
      </c>
      <c r="I90" s="1" t="s">
        <v>91</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v>-97000000</v>
      </c>
      <c r="AH90" s="44" t="s">
        <v>19</v>
      </c>
      <c r="AI90" s="45">
        <f>AA25</f>
        <v>1760000000</v>
      </c>
    </row>
    <row r="91" spans="1:35" ht="20" x14ac:dyDescent="0.25">
      <c r="A91" s="5" t="s">
        <v>76</v>
      </c>
      <c r="B91" s="1" t="s">
        <v>91</v>
      </c>
      <c r="C91" s="1">
        <v>-50400000</v>
      </c>
      <c r="D91" s="1">
        <v>-21800000</v>
      </c>
      <c r="E91" s="1" t="s">
        <v>91</v>
      </c>
      <c r="F91" s="1" t="s">
        <v>91</v>
      </c>
      <c r="G91" s="1" t="s">
        <v>91</v>
      </c>
      <c r="H91" s="1" t="s">
        <v>91</v>
      </c>
      <c r="I91" s="1" t="s">
        <v>91</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v>-320000000</v>
      </c>
      <c r="AH91" s="46" t="s">
        <v>129</v>
      </c>
      <c r="AI91" s="47">
        <f>AI89/AI90</f>
        <v>0.21931818181818183</v>
      </c>
    </row>
    <row r="92" spans="1:35" ht="20" x14ac:dyDescent="0.25">
      <c r="A92" s="5" t="s">
        <v>77</v>
      </c>
      <c r="B92" s="1" t="s">
        <v>91</v>
      </c>
      <c r="C92" s="1">
        <v>50900000</v>
      </c>
      <c r="D92" s="1">
        <v>22500000</v>
      </c>
      <c r="E92" s="1" t="s">
        <v>91</v>
      </c>
      <c r="F92" s="1" t="s">
        <v>91</v>
      </c>
      <c r="G92" s="1" t="s">
        <v>91</v>
      </c>
      <c r="H92" s="1" t="s">
        <v>91</v>
      </c>
      <c r="I92" s="1" t="s">
        <v>91</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v>438000000</v>
      </c>
      <c r="AH92" s="46" t="s">
        <v>130</v>
      </c>
      <c r="AI92" s="47">
        <f>AI88*(1-AI91)</f>
        <v>2.2934948492941625E-2</v>
      </c>
    </row>
    <row r="93" spans="1:35" ht="19" x14ac:dyDescent="0.25">
      <c r="A93" s="5" t="s">
        <v>78</v>
      </c>
      <c r="B93" s="1" t="s">
        <v>91</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H93" s="68" t="s">
        <v>131</v>
      </c>
      <c r="AI93" s="68"/>
    </row>
    <row r="94" spans="1:35" ht="20" x14ac:dyDescent="0.25">
      <c r="A94" s="6" t="s">
        <v>79</v>
      </c>
      <c r="B94" s="10" t="s">
        <v>91</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H94" s="44" t="s">
        <v>132</v>
      </c>
      <c r="AI94" s="48">
        <f>[1]Treasuries!$C$8</f>
        <v>4.0480000000000002E-2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-13762900000</v>
      </c>
      <c r="O95" s="1">
        <v>-2935700000</v>
      </c>
      <c r="P95" s="1" t="s">
        <v>91</v>
      </c>
      <c r="Q95" s="1">
        <v>-71300000</v>
      </c>
      <c r="R95" s="1">
        <v>-63800000</v>
      </c>
      <c r="S95" s="1">
        <v>-300000000</v>
      </c>
      <c r="T95" s="1" t="s">
        <v>91</v>
      </c>
      <c r="U95" s="1" t="s">
        <v>91</v>
      </c>
      <c r="V95" s="1">
        <v>-2007200000</v>
      </c>
      <c r="W95" s="1">
        <v>-1920000000</v>
      </c>
      <c r="X95" s="1">
        <v>-2270000000</v>
      </c>
      <c r="Y95" s="1">
        <v>-1592000000</v>
      </c>
      <c r="Z95" s="1">
        <v>-500000000</v>
      </c>
      <c r="AA95" s="1">
        <v>-626000000</v>
      </c>
      <c r="AH95" s="44" t="s">
        <v>133</v>
      </c>
      <c r="AI95" s="49" cm="1">
        <f t="array" ref="AI95">_FV(A1,"Beta")</f>
        <v>1.3055000000000001</v>
      </c>
    </row>
    <row r="96" spans="1:35" ht="20" x14ac:dyDescent="0.25">
      <c r="A96" s="5" t="s">
        <v>81</v>
      </c>
      <c r="B96" s="1" t="s">
        <v>91</v>
      </c>
      <c r="C96" s="1">
        <v>41000000</v>
      </c>
      <c r="D96" s="1">
        <v>48400000</v>
      </c>
      <c r="E96" s="1">
        <v>12700000</v>
      </c>
      <c r="F96" s="1">
        <v>62900000</v>
      </c>
      <c r="G96" s="1">
        <v>54000000</v>
      </c>
      <c r="H96" s="1">
        <v>79000000</v>
      </c>
      <c r="I96" s="1">
        <v>105000000</v>
      </c>
      <c r="J96" s="1">
        <v>89100000</v>
      </c>
      <c r="K96" s="1">
        <v>105300000</v>
      </c>
      <c r="L96" s="1">
        <v>65900000</v>
      </c>
      <c r="M96" s="1">
        <v>23500000</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44" t="s">
        <v>134</v>
      </c>
      <c r="AI96" s="48">
        <v>8.4000000000000005E-2</v>
      </c>
    </row>
    <row r="97" spans="1:35" ht="20" x14ac:dyDescent="0.25">
      <c r="A97" s="5" t="s">
        <v>82</v>
      </c>
      <c r="B97" s="1" t="s">
        <v>91</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91</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v>-983000000</v>
      </c>
      <c r="AH97" s="46" t="s">
        <v>135</v>
      </c>
      <c r="AI97" s="47">
        <f>(AI94)+((AI95)*(AI96-AI94))</f>
        <v>9.7295360000000011E-2</v>
      </c>
    </row>
    <row r="98" spans="1:35" ht="19" x14ac:dyDescent="0.25">
      <c r="A98" s="5" t="s">
        <v>83</v>
      </c>
      <c r="B98" s="1" t="s">
        <v>91</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v>-515000000</v>
      </c>
      <c r="AH98" s="68" t="s">
        <v>136</v>
      </c>
      <c r="AI98" s="68"/>
    </row>
    <row r="99" spans="1:35" ht="20" x14ac:dyDescent="0.25">
      <c r="A99" s="5" t="s">
        <v>84</v>
      </c>
      <c r="B99" s="1" t="s">
        <v>91</v>
      </c>
      <c r="C99" s="1">
        <v>89300000</v>
      </c>
      <c r="D99" s="1">
        <v>97900000</v>
      </c>
      <c r="E99" s="1">
        <v>300000000</v>
      </c>
      <c r="F99" s="1" t="s">
        <v>91</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H99" s="44" t="s">
        <v>137</v>
      </c>
      <c r="AI99" s="45">
        <f>AI86+AI87</f>
        <v>7863000000</v>
      </c>
    </row>
    <row r="100" spans="1:35" ht="20" x14ac:dyDescent="0.25">
      <c r="A100" s="6" t="s">
        <v>85</v>
      </c>
      <c r="B100" s="10" t="s">
        <v>91</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H100" s="46" t="s">
        <v>138</v>
      </c>
      <c r="AI100" s="47">
        <f>AI99/AI103</f>
        <v>0.11204990331901703</v>
      </c>
    </row>
    <row r="101" spans="1:35" ht="20" x14ac:dyDescent="0.25">
      <c r="A101" s="5" t="s">
        <v>86</v>
      </c>
      <c r="B101" s="1" t="s">
        <v>91</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v>-46000000</v>
      </c>
      <c r="AH101" s="44" t="s">
        <v>139</v>
      </c>
      <c r="AI101" s="50" cm="1">
        <f t="array" ref="AI101">_FV(A1,"Market cap",TRUE)</f>
        <v>62311090000</v>
      </c>
    </row>
    <row r="102" spans="1:35" ht="20" x14ac:dyDescent="0.25">
      <c r="A102" s="6" t="s">
        <v>87</v>
      </c>
      <c r="B102" s="10" t="s">
        <v>91</v>
      </c>
      <c r="C102" s="10" t="s">
        <v>91</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v>-42000000</v>
      </c>
      <c r="AH102" s="46" t="s">
        <v>140</v>
      </c>
      <c r="AI102" s="47">
        <f>AI101/AI103</f>
        <v>0.88795009668098301</v>
      </c>
    </row>
    <row r="103" spans="1:35" ht="20" x14ac:dyDescent="0.25">
      <c r="A103" s="5" t="s">
        <v>88</v>
      </c>
      <c r="B103" s="1" t="s">
        <v>91</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H103" s="46" t="s">
        <v>141</v>
      </c>
      <c r="AI103" s="51">
        <f>AI99+AI101</f>
        <v>70174090000</v>
      </c>
    </row>
    <row r="104" spans="1:35" ht="20" thickBot="1" x14ac:dyDescent="0.3">
      <c r="A104" s="7" t="s">
        <v>89</v>
      </c>
      <c r="B104" s="11" t="s">
        <v>91</v>
      </c>
      <c r="C104" s="11" t="s">
        <v>91</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v>1769000000</v>
      </c>
      <c r="AH104" s="68" t="s">
        <v>142</v>
      </c>
      <c r="AI104" s="68"/>
    </row>
    <row r="105" spans="1:35" ht="21" thickTop="1" x14ac:dyDescent="0.25">
      <c r="A105" s="14" t="s">
        <v>157</v>
      </c>
      <c r="C105" s="1">
        <f t="shared" ref="C105:Z105" si="62">((C22*(1-$AI$91))+C77+C88+C81)</f>
        <v>377391931.81818181</v>
      </c>
      <c r="D105" s="1">
        <f t="shared" si="62"/>
        <v>376805340.90909088</v>
      </c>
      <c r="E105" s="1">
        <f t="shared" si="62"/>
        <v>124026704.54545453</v>
      </c>
      <c r="F105" s="1">
        <f t="shared" si="62"/>
        <v>387201704.5454545</v>
      </c>
      <c r="G105" s="1">
        <f t="shared" si="62"/>
        <v>421584886.36363631</v>
      </c>
      <c r="H105" s="1">
        <f t="shared" si="62"/>
        <v>559970113.63636363</v>
      </c>
      <c r="I105" s="1">
        <f t="shared" si="62"/>
        <v>611528181.81818175</v>
      </c>
      <c r="J105" s="1">
        <f t="shared" si="62"/>
        <v>742328636.36363637</v>
      </c>
      <c r="K105" s="1">
        <f t="shared" si="62"/>
        <v>1163468750</v>
      </c>
      <c r="L105" s="1">
        <f t="shared" si="62"/>
        <v>1067351136.3636364</v>
      </c>
      <c r="M105" s="1">
        <f t="shared" si="62"/>
        <v>546206136.36363637</v>
      </c>
      <c r="N105" s="1">
        <f t="shared" si="62"/>
        <v>613918750</v>
      </c>
      <c r="O105" s="1">
        <f t="shared" si="62"/>
        <v>625610909.090909</v>
      </c>
      <c r="P105" s="1">
        <f t="shared" si="62"/>
        <v>798457727.27272725</v>
      </c>
      <c r="Q105" s="1">
        <f t="shared" si="62"/>
        <v>835706590.90909088</v>
      </c>
      <c r="R105" s="1">
        <f t="shared" si="62"/>
        <v>1050829772.7272726</v>
      </c>
      <c r="S105" s="1">
        <f t="shared" si="62"/>
        <v>1119379204.5454545</v>
      </c>
      <c r="T105" s="1">
        <f t="shared" si="62"/>
        <v>1211256590.9090908</v>
      </c>
      <c r="U105" s="1">
        <f t="shared" si="62"/>
        <v>1459721477.2727273</v>
      </c>
      <c r="V105" s="1">
        <f t="shared" si="62"/>
        <v>1021131477.2727273</v>
      </c>
      <c r="W105" s="1">
        <f t="shared" si="62"/>
        <v>1477769772.7272727</v>
      </c>
      <c r="X105" s="1">
        <f t="shared" si="62"/>
        <v>1586802272.7272727</v>
      </c>
      <c r="Y105" s="1">
        <f t="shared" si="62"/>
        <v>2019268181.8181818</v>
      </c>
      <c r="Z105" s="1">
        <f t="shared" si="62"/>
        <v>1938259090.909091</v>
      </c>
      <c r="AA105" s="1">
        <f>((AA22*(1-$AI$91))+AA77+AA88+AA81)</f>
        <v>1091023863.6363635</v>
      </c>
      <c r="AB105" s="31">
        <f>AA105*(1+$AI$106)</f>
        <v>1180307723.1663246</v>
      </c>
      <c r="AC105" s="31">
        <f t="shared" ref="AC105:AF105" si="63">AB105*(1+$AI$106)</f>
        <v>1276898120.9290946</v>
      </c>
      <c r="AD105" s="31">
        <f t="shared" si="63"/>
        <v>1381392986.956244</v>
      </c>
      <c r="AE105" s="31">
        <f t="shared" si="63"/>
        <v>1494439182.8405373</v>
      </c>
      <c r="AF105" s="31">
        <f t="shared" si="63"/>
        <v>1616736506.0467291</v>
      </c>
      <c r="AG105" s="28" t="s">
        <v>160</v>
      </c>
      <c r="AH105" s="52" t="s">
        <v>106</v>
      </c>
      <c r="AI105" s="53">
        <f>(AI100*AI92)+(AI102*AI97)</f>
        <v>8.8963283079871794E-2</v>
      </c>
    </row>
    <row r="106" spans="1:35" ht="19" x14ac:dyDescent="0.25">
      <c r="A106" s="14" t="s">
        <v>158</v>
      </c>
      <c r="B106" s="1"/>
      <c r="C106" s="15" t="e">
        <f>(C107/B107)-1</f>
        <v>#VALUE!</v>
      </c>
      <c r="D106" s="15">
        <f>(D107/C107)-1</f>
        <v>4.8117154811715412E-2</v>
      </c>
      <c r="E106" s="15">
        <f>(E107/D107)-1</f>
        <v>-0.81603459747172324</v>
      </c>
      <c r="F106" s="15">
        <f>(F107/E107)-1</f>
        <v>4.2712477396021704</v>
      </c>
      <c r="G106" s="15">
        <f>(G107/F107)-1</f>
        <v>8.6449399656946868E-2</v>
      </c>
      <c r="H106" s="15">
        <f t="shared" ref="H106:T106" si="64">(H107/G107)-1</f>
        <v>0.42248184401641931</v>
      </c>
      <c r="I106" s="15">
        <f t="shared" si="64"/>
        <v>0.10632630410654831</v>
      </c>
      <c r="J106" s="15">
        <f t="shared" si="64"/>
        <v>0.3575441412520064</v>
      </c>
      <c r="K106" s="15">
        <f t="shared" si="64"/>
        <v>6.6213420041383309E-2</v>
      </c>
      <c r="L106" s="15">
        <f t="shared" si="64"/>
        <v>0.11200443581924047</v>
      </c>
      <c r="M106" s="15">
        <f t="shared" si="64"/>
        <v>-0.43866866118175019</v>
      </c>
      <c r="N106" s="15">
        <f t="shared" si="64"/>
        <v>0.22829224961137018</v>
      </c>
      <c r="O106" s="15">
        <f t="shared" si="64"/>
        <v>3.832941601880302E-2</v>
      </c>
      <c r="P106" s="15">
        <f t="shared" si="64"/>
        <v>0.28086366010795749</v>
      </c>
      <c r="Q106" s="15">
        <f t="shared" si="64"/>
        <v>5.7775965198477497E-2</v>
      </c>
      <c r="R106" s="15">
        <f t="shared" si="64"/>
        <v>0.13674334918390962</v>
      </c>
      <c r="S106" s="15">
        <f t="shared" si="64"/>
        <v>6.72696438665914E-2</v>
      </c>
      <c r="T106" s="15">
        <f t="shared" si="64"/>
        <v>0.12775423728813551</v>
      </c>
      <c r="U106" s="15">
        <f t="shared" ref="U106" si="65">(U107/T107)-1</f>
        <v>4.3490512868683107E-2</v>
      </c>
      <c r="V106" s="15">
        <f t="shared" ref="V106" si="66">(V107/U107)-1</f>
        <v>-0.40867764875326307</v>
      </c>
      <c r="W106" s="15">
        <f t="shared" ref="W106" si="67">(W107/V107)-1</f>
        <v>1.0866189678794336</v>
      </c>
      <c r="X106" s="15">
        <f t="shared" ref="X106" si="68">(X107/W107)-1</f>
        <v>0.1716641132268184</v>
      </c>
      <c r="Y106" s="15">
        <f t="shared" ref="Y106" si="69">(Y107/X107)-1</f>
        <v>0.27210460772104605</v>
      </c>
      <c r="Z106" s="15">
        <f t="shared" ref="Z106" si="70">(Z107/Y107)-1</f>
        <v>-8.6637298091042592E-2</v>
      </c>
      <c r="AA106" s="15">
        <f t="shared" ref="AA106" si="71">(AA107/Z107)-1</f>
        <v>-0.210075026795284</v>
      </c>
      <c r="AB106" s="38">
        <v>1842000000</v>
      </c>
      <c r="AC106" s="38">
        <v>2151000000</v>
      </c>
      <c r="AD106" s="38">
        <v>2465000000</v>
      </c>
      <c r="AE106" s="38">
        <v>2723000000</v>
      </c>
      <c r="AF106" s="38">
        <v>2987000000</v>
      </c>
      <c r="AG106" s="28" t="s">
        <v>161</v>
      </c>
      <c r="AH106" s="54" t="s">
        <v>143</v>
      </c>
      <c r="AI106" s="55">
        <f>(SUM(AB4:AF4)/5)</f>
        <v>8.1834928186061612E-2</v>
      </c>
    </row>
    <row r="107" spans="1:35" ht="19" x14ac:dyDescent="0.25">
      <c r="A107" s="32" t="s">
        <v>159</v>
      </c>
      <c r="B107" s="1" t="s">
        <v>91</v>
      </c>
      <c r="C107" s="1">
        <v>286800000</v>
      </c>
      <c r="D107" s="1">
        <v>300600000</v>
      </c>
      <c r="E107" s="1">
        <v>55300000</v>
      </c>
      <c r="F107" s="1">
        <v>291500000</v>
      </c>
      <c r="G107" s="1">
        <v>316700000</v>
      </c>
      <c r="H107" s="1">
        <v>450500000</v>
      </c>
      <c r="I107" s="1">
        <v>498400000</v>
      </c>
      <c r="J107" s="1">
        <v>676600000</v>
      </c>
      <c r="K107" s="1">
        <v>721400000</v>
      </c>
      <c r="L107" s="1">
        <v>802200000</v>
      </c>
      <c r="M107" s="1">
        <v>450300000</v>
      </c>
      <c r="N107" s="1">
        <v>553100000</v>
      </c>
      <c r="O107" s="1">
        <v>574300000</v>
      </c>
      <c r="P107" s="1">
        <v>735600000</v>
      </c>
      <c r="Q107" s="1">
        <v>778100000</v>
      </c>
      <c r="R107" s="1">
        <v>884500000</v>
      </c>
      <c r="S107" s="1">
        <v>944000000</v>
      </c>
      <c r="T107" s="1">
        <v>1064600000</v>
      </c>
      <c r="U107" s="1">
        <v>1110900000</v>
      </c>
      <c r="V107" s="1">
        <v>656900000</v>
      </c>
      <c r="W107" s="1">
        <v>1370700000</v>
      </c>
      <c r="X107" s="1">
        <v>1606000000</v>
      </c>
      <c r="Y107" s="1">
        <v>2043000000</v>
      </c>
      <c r="Z107" s="1">
        <v>1866000000</v>
      </c>
      <c r="AA107" s="1">
        <v>1474000000</v>
      </c>
      <c r="AB107" s="28"/>
      <c r="AC107" s="28"/>
      <c r="AD107" s="28"/>
      <c r="AE107" s="28"/>
      <c r="AF107" s="39">
        <f>AF106*(1+AI107)/(AI108-AI107)</f>
        <v>47866132765.212288</v>
      </c>
      <c r="AG107" s="29" t="s">
        <v>144</v>
      </c>
      <c r="AH107" s="56" t="s">
        <v>145</v>
      </c>
      <c r="AI107" s="57">
        <v>2.5000000000000001E-2</v>
      </c>
    </row>
    <row r="108" spans="1:35" ht="19" x14ac:dyDescent="0.25">
      <c r="AB108" s="39">
        <f t="shared" ref="AB108:AD108" si="72">AB107+AB106</f>
        <v>1842000000</v>
      </c>
      <c r="AC108" s="39">
        <f t="shared" si="72"/>
        <v>2151000000</v>
      </c>
      <c r="AD108" s="39">
        <f t="shared" si="72"/>
        <v>2465000000</v>
      </c>
      <c r="AE108" s="39">
        <f>AE107+AE106</f>
        <v>2723000000</v>
      </c>
      <c r="AF108" s="39">
        <f>AF107+AF106</f>
        <v>50853132765.212288</v>
      </c>
      <c r="AG108" s="29" t="s">
        <v>141</v>
      </c>
      <c r="AH108" s="58" t="s">
        <v>146</v>
      </c>
      <c r="AI108" s="55">
        <f>AI105</f>
        <v>8.8963283079871794E-2</v>
      </c>
    </row>
    <row r="109" spans="1:35" ht="19" x14ac:dyDescent="0.25">
      <c r="AB109" s="65" t="s">
        <v>147</v>
      </c>
      <c r="AC109" s="65"/>
    </row>
    <row r="110" spans="1:35" ht="20" x14ac:dyDescent="0.25">
      <c r="AB110" s="59" t="s">
        <v>148</v>
      </c>
      <c r="AC110" s="50">
        <f>NPV(AI108,AB108,AC108,AD108,AE108,AF108)</f>
        <v>40559365191.598091</v>
      </c>
    </row>
    <row r="111" spans="1:35" ht="20" x14ac:dyDescent="0.25">
      <c r="AB111" s="59" t="s">
        <v>149</v>
      </c>
      <c r="AC111" s="50">
        <f>AA40</f>
        <v>1859000000</v>
      </c>
    </row>
    <row r="112" spans="1:35" ht="20" x14ac:dyDescent="0.25">
      <c r="AB112" s="59" t="s">
        <v>137</v>
      </c>
      <c r="AC112" s="50">
        <f>AI99</f>
        <v>7863000000</v>
      </c>
    </row>
    <row r="113" spans="28:29" ht="20" x14ac:dyDescent="0.25">
      <c r="AB113" s="59" t="s">
        <v>150</v>
      </c>
      <c r="AC113" s="50">
        <f>AC110+AC111-AC112</f>
        <v>34555365191.598091</v>
      </c>
    </row>
    <row r="114" spans="28:29" ht="20" x14ac:dyDescent="0.25">
      <c r="AB114" s="59" t="s">
        <v>151</v>
      </c>
      <c r="AC114" s="59">
        <f>AA34*(1+(5*AG16))</f>
        <v>181741902.6270411</v>
      </c>
    </row>
    <row r="115" spans="28:29" ht="20" x14ac:dyDescent="0.25">
      <c r="AB115" s="60" t="s">
        <v>152</v>
      </c>
      <c r="AC115" s="61">
        <f>AC113/AC114</f>
        <v>190.13427664235672</v>
      </c>
    </row>
    <row r="116" spans="28:29" ht="20" x14ac:dyDescent="0.25">
      <c r="AB116" s="59" t="s">
        <v>153</v>
      </c>
      <c r="AC116" s="62" cm="1">
        <f t="array" ref="AC116">_FV(A1,"Price")</f>
        <v>339.57</v>
      </c>
    </row>
    <row r="117" spans="28:29" ht="20" x14ac:dyDescent="0.25">
      <c r="AB117" s="60" t="s">
        <v>154</v>
      </c>
      <c r="AC117" s="63">
        <f>AC115/AC116-1</f>
        <v>-0.44007339681845647</v>
      </c>
    </row>
    <row r="118" spans="28:29" ht="20" x14ac:dyDescent="0.25">
      <c r="AB118" s="60" t="s">
        <v>155</v>
      </c>
      <c r="AC118" s="64" t="str">
        <f>IF(AC115&gt;AC116,"BUY","SELL")</f>
        <v>SELL</v>
      </c>
    </row>
  </sheetData>
  <mergeCells count="6">
    <mergeCell ref="AB109:AC109"/>
    <mergeCell ref="AH83:AI83"/>
    <mergeCell ref="AH84:AI84"/>
    <mergeCell ref="AH93:AI93"/>
    <mergeCell ref="AH98:AI98"/>
    <mergeCell ref="AH104:AI10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 ref="AG106" r:id="rId55" xr:uid="{7B384A68-96CF-314D-B1DC-32D3023BD76B}"/>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2023-02-16T16:08:56Z</dcterms:created>
  <dcterms:modified xsi:type="dcterms:W3CDTF">2023-07-10T11:21:58Z</dcterms:modified>
</cp:coreProperties>
</file>