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Financial Services/"/>
    </mc:Choice>
  </mc:AlternateContent>
  <xr:revisionPtr revIDLastSave="0" documentId="13_ncr:1_{D977A2FA-DE61-1645-8595-C3DB6AD80CA5}"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108" i="1" l="1"/>
  <c r="V108" i="1"/>
  <c r="W108" i="1"/>
  <c r="X108" i="1"/>
  <c r="C105" i="1"/>
  <c r="D105" i="1"/>
  <c r="E105" i="1"/>
  <c r="F105" i="1"/>
  <c r="G105" i="1"/>
  <c r="H105" i="1"/>
  <c r="I105" i="1"/>
  <c r="J105" i="1"/>
  <c r="K105" i="1"/>
  <c r="L105" i="1"/>
  <c r="M105" i="1"/>
  <c r="N105" i="1"/>
  <c r="O105" i="1"/>
  <c r="P105" i="1"/>
  <c r="Q105" i="1"/>
  <c r="R105" i="1"/>
  <c r="S105" i="1"/>
  <c r="T105" i="1"/>
  <c r="F4" i="1"/>
  <c r="G4" i="1"/>
  <c r="H4" i="1"/>
  <c r="I4" i="1"/>
  <c r="J4" i="1"/>
  <c r="K4" i="1"/>
  <c r="L4" i="1"/>
  <c r="M4" i="1"/>
  <c r="N4" i="1"/>
  <c r="O4" i="1"/>
  <c r="P4" i="1"/>
  <c r="Q4" i="1"/>
  <c r="R4" i="1"/>
  <c r="S4" i="1"/>
  <c r="T4" i="1"/>
  <c r="Y30" i="1"/>
  <c r="X30" i="1"/>
  <c r="W30" i="1"/>
  <c r="V30" i="1"/>
  <c r="U30" i="1"/>
  <c r="Y29" i="1"/>
  <c r="X29" i="1"/>
  <c r="W29" i="1"/>
  <c r="V29" i="1"/>
  <c r="U29" i="1"/>
  <c r="Y21" i="1"/>
  <c r="X21" i="1"/>
  <c r="W21" i="1"/>
  <c r="V21" i="1"/>
  <c r="U21" i="1"/>
  <c r="Y20" i="1"/>
  <c r="X20" i="1"/>
  <c r="W20" i="1"/>
  <c r="V20" i="1"/>
  <c r="U20" i="1"/>
  <c r="V116" i="1" l="1" a="1"/>
  <c r="V116" i="1" s="1"/>
  <c r="AB101" i="1" a="1"/>
  <c r="AB101" i="1" s="1"/>
  <c r="AB95" i="1" a="1"/>
  <c r="AB95" i="1" s="1"/>
  <c r="V114" i="1"/>
  <c r="Z19" i="1"/>
  <c r="V111" i="1"/>
  <c r="AB90" i="1"/>
  <c r="AB89" i="1"/>
  <c r="AB91" i="1" s="1"/>
  <c r="AB87" i="1"/>
  <c r="AB86" i="1"/>
  <c r="AB88" i="1" s="1"/>
  <c r="AB92" i="1" s="1"/>
  <c r="AB85" i="1"/>
  <c r="Z16" i="1"/>
  <c r="AC13" i="1"/>
  <c r="AB13" i="1"/>
  <c r="AA13" i="1"/>
  <c r="Z13" i="1"/>
  <c r="AC10" i="1"/>
  <c r="AB10" i="1"/>
  <c r="AA10" i="1"/>
  <c r="Z10" i="1"/>
  <c r="AC7" i="1"/>
  <c r="AB7" i="1"/>
  <c r="AA7" i="1"/>
  <c r="Z7" i="1"/>
  <c r="AB4" i="1"/>
  <c r="AA4" i="1"/>
  <c r="Z4" i="1"/>
  <c r="Y4" i="1"/>
  <c r="X4" i="1"/>
  <c r="W4" i="1"/>
  <c r="V4" i="1"/>
  <c r="U4" i="1"/>
  <c r="P89" i="1"/>
  <c r="Q89" i="1"/>
  <c r="R89" i="1"/>
  <c r="S89" i="1"/>
  <c r="T89" i="1"/>
  <c r="P106" i="1"/>
  <c r="Q106" i="1"/>
  <c r="R106" i="1"/>
  <c r="S106" i="1"/>
  <c r="AC4" i="1" s="1"/>
  <c r="T106"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E4" i="1"/>
  <c r="D4" i="1"/>
  <c r="C4" i="1"/>
  <c r="AB19" i="1" l="1"/>
  <c r="AA19" i="1"/>
  <c r="AC19" i="1"/>
  <c r="AB22" i="1"/>
  <c r="AC22" i="1"/>
  <c r="AB106" i="1"/>
  <c r="U105" i="1" s="1"/>
  <c r="V105" i="1" s="1"/>
  <c r="W105" i="1" s="1"/>
  <c r="X105" i="1" s="1"/>
  <c r="Y105" i="1" s="1"/>
  <c r="AC16" i="1"/>
  <c r="AB16" i="1"/>
  <c r="AA16" i="1"/>
  <c r="AB99" i="1"/>
  <c r="AB103" i="1" l="1"/>
  <c r="AB102" i="1" s="1"/>
  <c r="V112" i="1"/>
  <c r="AB100" i="1" l="1"/>
  <c r="AB94" i="1" l="1"/>
  <c r="AB97" i="1" s="1"/>
  <c r="AB105" i="1" s="1"/>
  <c r="AB108" i="1" s="1"/>
  <c r="Y107" i="1" l="1"/>
  <c r="Y108" i="1" s="1"/>
  <c r="V110" i="1"/>
  <c r="V113" i="1" s="1"/>
  <c r="V115" i="1" s="1"/>
  <c r="V118" i="1" l="1"/>
  <c r="V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<sst xmlns="http://schemas.openxmlformats.org/spreadsheetml/2006/main" count="600" uniqueCount="167">
  <si>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</si>
  <si>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</si>
  <si>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</si>
  <si>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</si>
  <si>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</si>
  <si>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</si>
  <si>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</si>
  <si>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</si>
  <si>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</si>
  <si>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</si>
  <si>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</si>
  <si>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</si>
  <si>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</si>
  <si>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</si>
  <si>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</si>
  <si>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</si>
  <si>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</si>
  <si>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</si>
  <si>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</si>
  <si>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</si>
  <si>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</si>
  <si>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</si>
  <si>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</si>
  <si>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</si>
  <si>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</si>
  <si>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</si>
  <si>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</si>
  <si>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</si>
  <si>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</si>
  <si>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</si>
  <si>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</si>
  <si>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</si>
  <si>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</si>
  <si>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</si>
  <si>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</si>
  <si>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</si>
  <si>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</si>
  <si>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</si>
  <si>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</si>
  <si>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</si>
  <si>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</si>
  <si>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</si>
  <si>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</si>
  <si>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</si>
  <si>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</si>
  <si>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</si>
  <si>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</si>
  <si>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</si>
  <si>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</si>
  <si>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</si>
  <si>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</si>
  <si>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</si>
  <si>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</si>
  <si>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</si>
  <si>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</si>
  <si>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</si>
  <si>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</si>
  <si>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</si>
  <si>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</si>
  <si>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</si>
  <si>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</si>
  <si>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</si>
  <si>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</si>
  <si>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</si>
  <si>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</si>
  <si>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</si>
  <si>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</si>
  <si>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</si>
  <si>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</si>
  <si>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</si>
  <si>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</si>
  <si>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</si>
  <si>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</si>
  <si>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</si>
  <si>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</si>
  <si>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</si>
  <si>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</si>
  <si>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</si>
  <si>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</si>
  <si>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</si>
  <si>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</si>
  <si>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</si>
  <si>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</si>
  <si>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</si>
  <si>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</si>
  <si>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</si>
  <si>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</si>
  <si>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</si>
  <si>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</si>
  <si>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</si>
  <si>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</si>
  <si>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</si>
  <si>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</si>
  <si>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</si>
  <si>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</si>
  <si>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</si>
  <si>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</si>
  <si>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</si>
  <si>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</si>
  <si>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</si>
  <si>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</si>
  <si>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</si>
  <si>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</si>
  <si>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</si>
  <si>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</si>
  <si>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</si>
  <si>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</si>
  <si>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</si>
  <si>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</si>
  <si>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</si>
  <si>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</si>
  <si>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</si>
  <si>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</si>
  <si>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</si>
  <si>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</si>
  <si>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</si>
  <si>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</si>
  <si>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</si>
  <si>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</si>
  <si>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</si>
  <si>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</si>
  <si>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</si>
  <si>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</si>
  <si>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</si>
  <si>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</si>
  <si>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</si>
  <si>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</si>
  <si>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</si>
  <si>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</si>
  <si>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</si>
  <si>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</si>
  <si>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</si>
  <si>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</si>
  <si>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</si>
  <si>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</si>
  <si>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</si>
  <si>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</si>
  <si>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</si>
  <si>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</si>
  <si>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</si>
  <si>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</si>
  <si>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</si>
  <si>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</si>
  <si>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</si>
  <si>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</si>
  <si>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</si>
  <si>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</si>
  <si>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</si>
  <si>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</si>
  <si>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</si>
  <si>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</si>
  <si>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</si>
  <si>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</si>
  <si>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</si>
  <si>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</si>
  <si>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</si>
  <si>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</si>
  <si>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</si>
  <si>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</si>
  <si>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</si>
  <si>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</si>
  <si>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FCF Yield</t>
  </si>
  <si>
    <t>Unlevered FCF</t>
  </si>
  <si>
    <t>Levered FCF Growth YoY</t>
  </si>
  <si>
    <t>Levered FCF</t>
  </si>
  <si>
    <t>Unlevered FCF Proj</t>
  </si>
  <si>
    <t>Unlevered FCF Forecast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</si>
</sst>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71" formatCode="0.0"/>
    <numFmt numFmtId="172" formatCode="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0">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2" fontId="11" fillId="0" borderId="9" xfId="0" applyNumberFormat="1" applyFont="1" applyBorder="1" applyAlignment="1">
      <alignment horizontal="center"/>
    </xf>
    <xf numFmtId="2" fontId="11" fillId="0" borderId="5" xfId="0" applyNumberFormat="1" applyFont="1" applyBorder="1" applyAlignment="1">
      <alignment horizontal="center"/>
    </xf>
    <xf numFmtId="0" fontId="0" fillId="4" borderId="0" xfId="0" applyFill="1"/>
    <xf numFmtId="0" fontId="0" fillId="4" borderId="0" xfId="0" applyFill="1" applyAlignment="1">
      <alignment horizontal="left"/>
    </xf>
    <xf numFmtId="164" fontId="1" fillId="0" borderId="6" xfId="0" applyNumberFormat="1" applyFont="1" applyBorder="1" applyAlignment="1">
      <alignment horizontal="center"/>
    </xf>
    <xf numFmtId="164" fontId="10" fillId="4" borderId="0" xfId="0" applyNumberFormat="1" applyFont="1" applyFill="1"/>
    <xf numFmtId="171" fontId="11" fillId="0" borderId="9" xfId="0" applyNumberFormat="1" applyFont="1" applyBorder="1" applyAlignment="1">
      <alignment horizontal="center"/>
    </xf>
    <xf numFmtId="171" fontId="11" fillId="0" borderId="5" xfId="0" applyNumberFormat="1" applyFont="1" applyBorder="1" applyAlignment="1">
      <alignment horizontal="center"/>
    </xf>
    <xf numFmtId="172" fontId="11" fillId="0" borderId="5" xfId="0" applyNumberFormat="1" applyFont="1" applyBorder="1" applyAlignment="1">
      <alignment horizontal="center"/>
    </xf>
    <xf numFmtId="172"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4" fillId="5" borderId="0" xfId="0" applyFont="1" applyFill="1" applyBorder="1" applyAlignment="1">
      <alignment horizontal="center"/>
    </xf>
    <xf numFmtId="0" fontId="15" fillId="5" borderId="0" xfId="0" applyFont="1" applyFill="1" applyBorder="1" applyAlignment="1">
      <alignment horizontal="center"/>
    </xf>
    <xf numFmtId="0" fontId="12" fillId="6" borderId="0" xfId="0" applyFont="1" applyFill="1" applyBorder="1" applyAlignment="1">
      <alignment horizontal="center" vertical="center" wrapText="1"/>
    </xf>
    <xf numFmtId="0" fontId="11" fillId="4" borderId="0" xfId="0" applyFont="1" applyFill="1" applyBorder="1" applyAlignment="1">
      <alignment horizontal="left" vertical="center" wrapText="1"/>
    </xf>
    <xf numFmtId="164" fontId="11" fillId="4" borderId="0" xfId="0" applyNumberFormat="1" applyFont="1" applyFill="1" applyBorder="1"/>
    <xf numFmtId="0" fontId="12" fillId="4" borderId="0" xfId="0" applyFont="1" applyFill="1" applyBorder="1" applyAlignment="1">
      <alignment horizontal="left" vertical="center" wrapText="1"/>
    </xf>
    <xf numFmtId="10" fontId="12" fillId="4" borderId="0" xfId="0" applyNumberFormat="1" applyFont="1" applyFill="1" applyBorder="1"/>
    <xf numFmtId="10" fontId="11" fillId="4" borderId="0" xfId="0" applyNumberFormat="1" applyFont="1" applyFill="1" applyBorder="1"/>
    <xf numFmtId="39" fontId="11" fillId="4" borderId="0" xfId="0" applyNumberFormat="1" applyFont="1" applyFill="1" applyBorder="1"/>
    <xf numFmtId="164" fontId="1" fillId="4" borderId="0" xfId="0" applyNumberFormat="1" applyFont="1" applyFill="1" applyBorder="1"/>
    <xf numFmtId="164" fontId="12" fillId="4" borderId="0" xfId="0" applyNumberFormat="1" applyFont="1" applyFill="1" applyBorder="1"/>
    <xf numFmtId="0" fontId="12" fillId="5" borderId="0" xfId="0" applyFont="1" applyFill="1" applyBorder="1" applyAlignment="1">
      <alignment horizontal="left" vertical="center" wrapText="1"/>
    </xf>
    <xf numFmtId="10" fontId="12" fillId="5" borderId="0" xfId="0" applyNumberFormat="1" applyFont="1" applyFill="1" applyBorder="1"/>
    <xf numFmtId="9" fontId="16" fillId="4" borderId="0" xfId="0" applyNumberFormat="1" applyFont="1" applyFill="1" applyBorder="1" applyAlignment="1">
      <alignment wrapText="1"/>
    </xf>
    <xf numFmtId="10" fontId="1" fillId="4" borderId="0" xfId="0" applyNumberFormat="1" applyFont="1" applyFill="1" applyBorder="1" applyAlignment="1">
      <alignment horizontal="right" vertical="center"/>
    </xf>
    <xf numFmtId="0" fontId="16" fillId="7" borderId="0" xfId="0" applyFont="1" applyFill="1" applyBorder="1" applyAlignment="1">
      <alignment wrapText="1"/>
    </xf>
    <xf numFmtId="10" fontId="1" fillId="7" borderId="0" xfId="0" applyNumberFormat="1" applyFont="1" applyFill="1" applyBorder="1" applyAlignment="1">
      <alignment horizontal="right" vertical="center"/>
    </xf>
    <xf numFmtId="0" fontId="16" fillId="4" borderId="0" xfId="0" applyFont="1" applyFill="1" applyBorder="1"/>
    <xf numFmtId="0" fontId="1" fillId="5" borderId="0" xfId="0" applyFont="1" applyFill="1" applyBorder="1" applyAlignment="1">
      <alignment horizontal="center"/>
    </xf>
    <xf numFmtId="164" fontId="1" fillId="4" borderId="0" xfId="0" applyNumberFormat="1" applyFont="1" applyFill="1" applyBorder="1" applyAlignment="1">
      <alignment wrapText="1"/>
    </xf>
    <xf numFmtId="164" fontId="1" fillId="5" borderId="0" xfId="0" applyNumberFormat="1" applyFont="1" applyFill="1" applyBorder="1" applyAlignment="1">
      <alignment wrapText="1"/>
    </xf>
    <xf numFmtId="168" fontId="12" fillId="5" borderId="0" xfId="0" applyNumberFormat="1" applyFont="1" applyFill="1" applyBorder="1"/>
    <xf numFmtId="167" fontId="1" fillId="4" borderId="0" xfId="0" applyNumberFormat="1" applyFont="1" applyFill="1" applyBorder="1"/>
    <xf numFmtId="9" fontId="12" fillId="5" borderId="0" xfId="1" applyFont="1" applyFill="1" applyBorder="1"/>
    <xf numFmtId="0" fontId="12" fillId="5" borderId="0" xfId="0" applyFont="1" applyFill="1" applyBorder="1" applyAlignment="1">
      <alignment horizontal="right"/>
    </xf>
    <xf numFmtId="10" fontId="11" fillId="4" borderId="0" xfId="0" applyNumberFormat="1" applyFont="1" applyFill="1"/>
    <xf numFmtId="164" fontId="10" fillId="7" borderId="0" xfId="0" applyNumberFormat="1" applyFont="1" applyFill="1"/>
    <xf numFmtId="164" fontId="1" fillId="7" borderId="0" xfId="0" applyNumberFormat="1" applyFon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Visa</a:t>
            </a:r>
            <a:endParaRPr lang="en-US"/>
          </a:p>
        </c:rich>
      </c:tx>
      <c:layout>
        <c:manualLayout>
          <c:xMode val="edge"/>
          <c:yMode val="edge"/>
          <c:x val="0.47784462809917355"/>
          <c:y val="2.6335040234089245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021818181818182"/>
          <c:y val="0.14424298279467079"/>
          <c:w val="0.84424462809917356"/>
          <c:h val="0.66301309263920649"/>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1'!$C$3:$T$3</c:f>
              <c:numCache>
                <c:formatCode>#,###,,;\(#,###,,\);\ \-\ \-</c:formatCode>
                <c:ptCount val="18"/>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numCache>
            </c:numRef>
          </c:val>
          <c:extLst>
            <c:ext xmlns:c16="http://schemas.microsoft.com/office/drawing/2014/chart" uri="{C3380CC4-5D6E-409C-BE32-E72D297353CC}">
              <c16:uniqueId val="{00000000-726B-D64C-9064-CC084E4B5813}"/>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1'!$C$19:$T$19</c:f>
              <c:numCache>
                <c:formatCode>#,###,,;\(#,###,,\);\ \-\ \-</c:formatCode>
                <c:ptCount val="18"/>
                <c:pt idx="0">
                  <c:v>692010000</c:v>
                </c:pt>
                <c:pt idx="1">
                  <c:v>1426105000</c:v>
                </c:pt>
                <c:pt idx="2">
                  <c:v>-685737000</c:v>
                </c:pt>
                <c:pt idx="3">
                  <c:v>1716000000</c:v>
                </c:pt>
                <c:pt idx="4">
                  <c:v>4342000000</c:v>
                </c:pt>
                <c:pt idx="5">
                  <c:v>4977000000</c:v>
                </c:pt>
                <c:pt idx="6">
                  <c:v>5980000000</c:v>
                </c:pt>
                <c:pt idx="7">
                  <c:v>2542000000</c:v>
                </c:pt>
                <c:pt idx="8">
                  <c:v>7654000000</c:v>
                </c:pt>
                <c:pt idx="9">
                  <c:v>8159000000</c:v>
                </c:pt>
                <c:pt idx="10">
                  <c:v>9489000000</c:v>
                </c:pt>
                <c:pt idx="11">
                  <c:v>8941000000</c:v>
                </c:pt>
                <c:pt idx="12">
                  <c:v>12813000000</c:v>
                </c:pt>
                <c:pt idx="13">
                  <c:v>14031000000</c:v>
                </c:pt>
                <c:pt idx="14">
                  <c:v>16073000000</c:v>
                </c:pt>
                <c:pt idx="15">
                  <c:v>15073000000</c:v>
                </c:pt>
                <c:pt idx="16">
                  <c:v>17380000000</c:v>
                </c:pt>
                <c:pt idx="17">
                  <c:v>19535000000</c:v>
                </c:pt>
              </c:numCache>
            </c:numRef>
          </c:val>
          <c:extLst>
            <c:ext xmlns:c16="http://schemas.microsoft.com/office/drawing/2014/chart" uri="{C3380CC4-5D6E-409C-BE32-E72D297353CC}">
              <c16:uniqueId val="{00000001-726B-D64C-9064-CC084E4B5813}"/>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1'!$C$107:$T$107</c:f>
              <c:numCache>
                <c:formatCode>#,###,,;\(#,###,,\);\ \-\ \-</c:formatCode>
                <c:ptCount val="18"/>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numCache>
            </c:numRef>
          </c:val>
          <c:extLst>
            <c:ext xmlns:c16="http://schemas.microsoft.com/office/drawing/2014/chart" uri="{C3380CC4-5D6E-409C-BE32-E72D297353CC}">
              <c16:uniqueId val="{00000002-726B-D64C-9064-CC084E4B5813}"/>
            </c:ext>
          </c:extLst>
        </c:ser>
        <c:dLbls>
          <c:showLegendKey val="0"/>
          <c:showVal val="0"/>
          <c:showCatName val="0"/>
          <c:showSerName val="0"/>
          <c:showPercent val="0"/>
          <c:showBubbleSize val="0"/>
        </c:dLbls>
        <c:gapWidth val="100"/>
        <c:overlap val="-24"/>
        <c:axId val="914216896"/>
        <c:axId val="925176640"/>
      </c:barChart>
      <c:catAx>
        <c:axId val="91421689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925176640"/>
        <c:crosses val="autoZero"/>
        <c:auto val="1"/>
        <c:lblAlgn val="ctr"/>
        <c:lblOffset val="100"/>
        <c:noMultiLvlLbl val="0"/>
      </c:catAx>
      <c:valAx>
        <c:axId val="925176640"/>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914216896"/>
        <c:crosses val="autoZero"/>
        <c:crossBetween val="between"/>
      </c:valAx>
      <c:spPr>
        <a:noFill/>
        <a:ln>
          <a:noFill/>
        </a:ln>
        <a:effectLst/>
      </c:spPr>
    </c:plotArea>
    <c:legend>
      <c:legendPos val="b"/>
      <c:layout>
        <c:manualLayout>
          <c:xMode val="edge"/>
          <c:yMode val="edge"/>
          <c:x val="0.32202116223075422"/>
          <c:y val="0.89905339008922347"/>
          <c:w val="0.36389145571679571"/>
          <c:h val="5.998099176885991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31749</xdr:colOff>
      <xdr:row>108</xdr:row>
      <xdr:rowOff>41274</xdr:rowOff>
    </xdr:from>
    <xdr:to>
      <xdr:col>28</xdr:col>
      <xdr:colOff>15874</xdr:colOff>
      <xdr:row>126</xdr:row>
      <xdr:rowOff>206374</xdr:rowOff>
    </xdr:to>
    <xdr:graphicFrame macro="">
      <xdr:nvGraphicFramePr>
        <xdr:cNvPr id="2" name="Chart 1">
          <a:extLst>
            <a:ext uri="{FF2B5EF4-FFF2-40B4-BE49-F238E27FC236}">
              <a16:creationId xmlns:a16="http://schemas.microsoft.com/office/drawing/2014/main" id="{BCB9B3A3-47C0-5FB7-CF5C-9EED1C613A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reasuries"/>
      <sheetName val="Hardware"/>
      <sheetName val="Software"/>
      <sheetName val="Consumer"/>
      <sheetName val="Financial Services"/>
      <sheetName val="Healthcare"/>
      <sheetName val="Industrials"/>
      <sheetName val="Real Estate"/>
      <sheetName val="Fashion + Beauty"/>
      <sheetName val="My Stocks"/>
      <sheetName val="Compounders"/>
      <sheetName val="Short List"/>
    </sheetNames>
    <sheetDataSet>
      <sheetData sheetId="0">
        <row r="8">
          <cell r="C8">
            <v>4.0480000000000002E-2</v>
          </cell>
        </row>
      </sheetData>
      <sheetData sheetId="1"/>
      <sheetData sheetId="2"/>
      <sheetData sheetId="3"/>
      <sheetData sheetId="4"/>
      <sheetData sheetId="5"/>
      <sheetData sheetId="6"/>
      <sheetData sheetId="7"/>
      <sheetData sheetId="8"/>
      <sheetData sheetId="9"/>
      <sheetData sheetId="10"/>
      <sheetData sheetId="1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240</v>
    <v>174.6</v>
    <v>0.97019999999999995</v>
    <v>-2.4300000000000002</v>
    <v>-1.0172E-2</v>
    <v>0.05</v>
    <v>2.1149999999999999E-4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238.44</v>
    <v>Software &amp; IT Services</v>
    <v>Stock</v>
    <v>45114.999501053127</v>
    <v>0</v>
    <v>236.13</v>
    <v>484520300000</v>
    <v>VISA INC.</v>
    <v>VISA INC.</v>
    <v>236.73</v>
    <v>31.611000000000001</v>
    <v>238.88</v>
    <v>236.45</v>
    <v>236.5</v>
    <v>2049145000</v>
    <v>V</v>
    <v>VISA INC. (XNYS:V)</v>
    <v>5729515</v>
    <v>7754726</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42"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hyperlink" Target="https://finbox.com/NYSE:V/explorer/fcf_unlev_proj" TargetMode="Externa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8"/>
  <sheetViews>
    <sheetView tabSelected="1" zoomScale="80" zoomScaleNormal="80" workbookViewId="0">
      <pane xSplit="1" ySplit="1" topLeftCell="R2" activePane="bottomRight" state="frozen"/>
      <selection pane="topRight"/>
      <selection pane="bottomLeft"/>
      <selection pane="bottomRight" activeCell="Y13" sqref="Y13"/>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3">
        <v>2023</v>
      </c>
      <c r="V1" s="23">
        <v>2024</v>
      </c>
      <c r="W1" s="23">
        <v>2025</v>
      </c>
      <c r="X1" s="23">
        <v>2026</v>
      </c>
      <c r="Y1" s="23">
        <v>2027</v>
      </c>
    </row>
    <row r="2" spans="1:2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c r="Y2" s="9"/>
      <c r="Z2" s="9"/>
      <c r="AA2" s="9"/>
      <c r="AB2" s="9"/>
      <c r="AC2" s="9"/>
    </row>
    <row r="3" spans="1:29" ht="40" x14ac:dyDescent="0.25">
      <c r="A3" s="5" t="s">
        <v>1</v>
      </c>
      <c r="B3" s="1" t="s">
        <v>91</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4">
        <v>32589000000</v>
      </c>
      <c r="V3" s="24">
        <v>36218000000</v>
      </c>
      <c r="W3" s="24">
        <v>40430000000</v>
      </c>
      <c r="X3" s="24">
        <v>43266000000</v>
      </c>
      <c r="Y3" s="24">
        <v>49870000000</v>
      </c>
      <c r="Z3" s="18" t="s">
        <v>107</v>
      </c>
      <c r="AA3" s="19" t="s">
        <v>108</v>
      </c>
      <c r="AB3" s="19" t="s">
        <v>109</v>
      </c>
      <c r="AC3" s="19" t="s">
        <v>110</v>
      </c>
    </row>
    <row r="4" spans="1:29" ht="19" x14ac:dyDescent="0.25">
      <c r="A4" s="14" t="s">
        <v>93</v>
      </c>
      <c r="B4" s="1"/>
      <c r="C4" s="15" t="e">
        <f>(C3/B3)-1</f>
        <v>#VALUE!</v>
      </c>
      <c r="D4" s="15">
        <f>(D3/C3)-1</f>
        <v>0.10640263753914736</v>
      </c>
      <c r="E4" s="15">
        <f>(E3/D3)-1</f>
        <v>0.21765351955784795</v>
      </c>
      <c r="F4" s="15">
        <f t="shared" ref="F4:T4" si="0">(F3/E3)-1</f>
        <v>0.74466738499903617</v>
      </c>
      <c r="G4" s="15">
        <f t="shared" si="0"/>
        <v>0.1034647932300814</v>
      </c>
      <c r="H4" s="15">
        <f t="shared" si="0"/>
        <v>0.16698017653016928</v>
      </c>
      <c r="I4" s="15">
        <f t="shared" si="0"/>
        <v>0.13924364538127709</v>
      </c>
      <c r="J4" s="15">
        <f t="shared" si="0"/>
        <v>0.13419677840661737</v>
      </c>
      <c r="K4" s="15">
        <f t="shared" si="0"/>
        <v>0.13021782938297677</v>
      </c>
      <c r="L4" s="15">
        <f t="shared" si="0"/>
        <v>7.8451349974528739E-2</v>
      </c>
      <c r="M4" s="15">
        <f t="shared" si="0"/>
        <v>9.2741300582585451E-2</v>
      </c>
      <c r="N4" s="15">
        <f t="shared" si="0"/>
        <v>8.6599423631123829E-2</v>
      </c>
      <c r="O4" s="15">
        <f t="shared" si="0"/>
        <v>0.21721257127701898</v>
      </c>
      <c r="P4" s="15">
        <f t="shared" si="0"/>
        <v>0.12261684279333251</v>
      </c>
      <c r="Q4" s="15">
        <f t="shared" si="0"/>
        <v>0.1149012567324954</v>
      </c>
      <c r="R4" s="15">
        <f t="shared" si="0"/>
        <v>-4.92231361796579E-2</v>
      </c>
      <c r="S4" s="15">
        <f t="shared" si="0"/>
        <v>0.10340565778632249</v>
      </c>
      <c r="T4" s="15">
        <f t="shared" si="0"/>
        <v>0.21593030491599263</v>
      </c>
      <c r="U4" s="16">
        <f t="shared" ref="F4:Y4" si="1">(U3/T3)-1</f>
        <v>0.11187308085977477</v>
      </c>
      <c r="V4" s="16">
        <f t="shared" si="1"/>
        <v>0.11135659271533349</v>
      </c>
      <c r="W4" s="16">
        <f t="shared" si="1"/>
        <v>0.11629576453697066</v>
      </c>
      <c r="X4" s="16">
        <f t="shared" si="1"/>
        <v>7.0145931239178783E-2</v>
      </c>
      <c r="Y4" s="16">
        <f t="shared" si="1"/>
        <v>0.15263717468682114</v>
      </c>
      <c r="Z4" s="17">
        <f>(T4+S4+R4)/3</f>
        <v>9.0037608840885741E-2</v>
      </c>
      <c r="AA4" s="17">
        <f>(T20+S20+R20)/3</f>
        <v>7.1610696112697061E-2</v>
      </c>
      <c r="AB4" s="17">
        <f>(T29+S29+R29)/3</f>
        <v>8.2472222506066228E-2</v>
      </c>
      <c r="AC4" s="17">
        <f>(T106+S106+R106)/3</f>
        <v>0.17814898881663144</v>
      </c>
    </row>
    <row r="5" spans="1:29" ht="19" x14ac:dyDescent="0.25">
      <c r="A5" s="5" t="s">
        <v>2</v>
      </c>
      <c r="B5" s="1" t="s">
        <v>91</v>
      </c>
      <c r="C5" s="1">
        <v>957011000</v>
      </c>
      <c r="D5" s="1" t="s">
        <v>91</v>
      </c>
      <c r="E5" s="1" t="s">
        <v>91</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91</v>
      </c>
      <c r="C6" s="10">
        <v>1707594000</v>
      </c>
      <c r="D6" s="10" t="s">
        <v>91</v>
      </c>
      <c r="E6" s="10" t="s">
        <v>91</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111</v>
      </c>
      <c r="AA6" s="19" t="s">
        <v>112</v>
      </c>
      <c r="AB6" s="19" t="s">
        <v>113</v>
      </c>
      <c r="AC6" s="19" t="s">
        <v>114</v>
      </c>
    </row>
    <row r="7" spans="1:29" ht="19" x14ac:dyDescent="0.25">
      <c r="A7" s="5" t="s">
        <v>4</v>
      </c>
      <c r="B7" s="2" t="s">
        <v>91</v>
      </c>
      <c r="C7" s="2">
        <v>0.64080000000000004</v>
      </c>
      <c r="D7" s="2" t="s">
        <v>91</v>
      </c>
      <c r="E7" s="2" t="s">
        <v>91</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T21</f>
        <v>0.66649999999999998</v>
      </c>
      <c r="AB7" s="20">
        <f>T30</f>
        <v>0.51029999999999998</v>
      </c>
      <c r="AC7" s="20">
        <f>T107/T3</f>
        <v>0.60999658819515523</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94</v>
      </c>
      <c r="B9" s="15" t="e">
        <f>B8/B3</f>
        <v>#VALUE!</v>
      </c>
      <c r="C9" s="15">
        <f t="shared" ref="C9:T9" si="2">C8/C3</f>
        <v>0</v>
      </c>
      <c r="D9" s="15">
        <f t="shared" si="2"/>
        <v>0</v>
      </c>
      <c r="E9" s="15">
        <f t="shared" si="2"/>
        <v>0</v>
      </c>
      <c r="F9" s="15">
        <f t="shared" si="2"/>
        <v>0</v>
      </c>
      <c r="G9" s="15">
        <f t="shared" si="2"/>
        <v>0</v>
      </c>
      <c r="H9" s="15">
        <f t="shared" si="2"/>
        <v>0</v>
      </c>
      <c r="I9" s="15">
        <f t="shared" si="2"/>
        <v>0</v>
      </c>
      <c r="J9" s="15">
        <f t="shared" si="2"/>
        <v>0</v>
      </c>
      <c r="K9" s="15">
        <f t="shared" si="2"/>
        <v>0</v>
      </c>
      <c r="L9" s="15">
        <f t="shared" si="2"/>
        <v>0</v>
      </c>
      <c r="M9" s="15">
        <f t="shared" si="2"/>
        <v>0</v>
      </c>
      <c r="N9" s="15">
        <f t="shared" si="2"/>
        <v>0</v>
      </c>
      <c r="O9" s="15">
        <f t="shared" si="2"/>
        <v>0</v>
      </c>
      <c r="P9" s="15">
        <f t="shared" si="2"/>
        <v>0</v>
      </c>
      <c r="Q9" s="15">
        <f t="shared" si="2"/>
        <v>0</v>
      </c>
      <c r="R9" s="15">
        <f t="shared" si="2"/>
        <v>0</v>
      </c>
      <c r="S9" s="15">
        <f t="shared" si="2"/>
        <v>0</v>
      </c>
      <c r="T9" s="15">
        <f t="shared" si="2"/>
        <v>0</v>
      </c>
      <c r="Z9" s="18" t="s">
        <v>95</v>
      </c>
      <c r="AA9" s="19" t="s">
        <v>96</v>
      </c>
      <c r="AB9" s="19" t="s">
        <v>97</v>
      </c>
      <c r="AC9" s="19" t="s">
        <v>98</v>
      </c>
    </row>
    <row r="10" spans="1:29" ht="19" x14ac:dyDescent="0.25">
      <c r="A10" s="5" t="s">
        <v>6</v>
      </c>
      <c r="B10" s="1" t="s">
        <v>91</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91</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91</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115</v>
      </c>
      <c r="AA12" s="19" t="s">
        <v>116</v>
      </c>
      <c r="AB12" s="19" t="s">
        <v>117</v>
      </c>
      <c r="AC12" s="19" t="s">
        <v>118</v>
      </c>
    </row>
    <row r="13" spans="1:29" ht="19" x14ac:dyDescent="0.25">
      <c r="A13" s="14" t="s">
        <v>99</v>
      </c>
      <c r="B13" s="15" t="e">
        <f>B12/B3</f>
        <v>#VALUE!</v>
      </c>
      <c r="C13" s="15">
        <f t="shared" ref="C13:T13" si="3">C12/C3</f>
        <v>0.42120239209939186</v>
      </c>
      <c r="D13" s="15">
        <f t="shared" si="3"/>
        <v>0.22288565685455777</v>
      </c>
      <c r="E13" s="15">
        <f t="shared" si="3"/>
        <v>0.22057827241436562</v>
      </c>
      <c r="F13" s="15">
        <f t="shared" si="3"/>
        <v>0.28516685294587257</v>
      </c>
      <c r="G13" s="15">
        <f t="shared" si="3"/>
        <v>0.23281724786572131</v>
      </c>
      <c r="H13" s="15">
        <f t="shared" si="3"/>
        <v>0.19950402975821452</v>
      </c>
      <c r="I13" s="15">
        <f t="shared" si="3"/>
        <v>0.17642577274706139</v>
      </c>
      <c r="J13" s="15">
        <f t="shared" si="3"/>
        <v>0.16399577775645333</v>
      </c>
      <c r="K13" s="15">
        <f t="shared" si="3"/>
        <v>0.14764815758193242</v>
      </c>
      <c r="L13" s="15">
        <f t="shared" si="3"/>
        <v>0.13659266257282318</v>
      </c>
      <c r="M13" s="15">
        <f t="shared" si="3"/>
        <v>0.12644092219020173</v>
      </c>
      <c r="N13" s="15">
        <f t="shared" si="3"/>
        <v>0.13618883437209919</v>
      </c>
      <c r="O13" s="15">
        <f t="shared" si="3"/>
        <v>0.13024294585466825</v>
      </c>
      <c r="P13" s="15">
        <f t="shared" si="3"/>
        <v>0.12513950215925082</v>
      </c>
      <c r="Q13" s="15">
        <f t="shared" si="3"/>
        <v>0.11990251120685903</v>
      </c>
      <c r="R13" s="15">
        <f t="shared" si="3"/>
        <v>0.11329305135951662</v>
      </c>
      <c r="S13" s="15">
        <f t="shared" si="3"/>
        <v>0.10470856668740926</v>
      </c>
      <c r="T13" s="15">
        <f t="shared" si="3"/>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91</v>
      </c>
      <c r="C14" s="1" t="s">
        <v>91</v>
      </c>
      <c r="D14" s="1" t="s">
        <v>91</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91</v>
      </c>
      <c r="C15" s="1">
        <v>1122338000</v>
      </c>
      <c r="D15" s="1" t="s">
        <v>91</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119</v>
      </c>
      <c r="AA15" s="19" t="s">
        <v>120</v>
      </c>
      <c r="AB15" s="19" t="s">
        <v>121</v>
      </c>
      <c r="AC15" s="19" t="s">
        <v>122</v>
      </c>
    </row>
    <row r="16" spans="1:29" ht="19" x14ac:dyDescent="0.25">
      <c r="A16" s="5" t="s">
        <v>11</v>
      </c>
      <c r="B16" s="1" t="s">
        <v>91</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5">
        <f>(T35+S35+R35+Q35+P35)/5</f>
        <v>-1.7868565059310757E-2</v>
      </c>
      <c r="AA16" s="26">
        <f>AB101/T3</f>
        <v>16.530887069259638</v>
      </c>
      <c r="AB16" s="26">
        <f>AB101/T28</f>
        <v>32.394216754696799</v>
      </c>
      <c r="AC16" s="27">
        <f>AB101/T107</f>
        <v>27.099966441076123</v>
      </c>
    </row>
    <row r="17" spans="1:29" ht="19" x14ac:dyDescent="0.25">
      <c r="A17" s="5" t="s">
        <v>12</v>
      </c>
      <c r="B17" s="1" t="s">
        <v>91</v>
      </c>
      <c r="C17" s="1">
        <v>108485000</v>
      </c>
      <c r="D17" s="1" t="s">
        <v>91</v>
      </c>
      <c r="E17" s="1">
        <v>80658000</v>
      </c>
      <c r="F17" s="1">
        <v>143000000</v>
      </c>
      <c r="G17" s="1">
        <v>115000000</v>
      </c>
      <c r="H17" s="1">
        <v>72000000</v>
      </c>
      <c r="I17" s="1">
        <v>32000000</v>
      </c>
      <c r="J17" s="1" t="s">
        <v>91</v>
      </c>
      <c r="K17" s="1" t="s">
        <v>91</v>
      </c>
      <c r="L17" s="1" t="s">
        <v>91</v>
      </c>
      <c r="M17" s="1" t="s">
        <v>91</v>
      </c>
      <c r="N17" s="1">
        <v>427000000</v>
      </c>
      <c r="O17" s="1">
        <v>563000000</v>
      </c>
      <c r="P17" s="1">
        <v>612000000</v>
      </c>
      <c r="Q17" s="1">
        <v>533000000</v>
      </c>
      <c r="R17" s="1">
        <v>516000000</v>
      </c>
      <c r="S17" s="1">
        <v>513000000</v>
      </c>
      <c r="T17" s="1">
        <v>538000000</v>
      </c>
    </row>
    <row r="18" spans="1:29" ht="20" x14ac:dyDescent="0.25">
      <c r="A18" s="5" t="s">
        <v>13</v>
      </c>
      <c r="B18" s="1" t="s">
        <v>91</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156</v>
      </c>
      <c r="AA18" s="19" t="s">
        <v>157</v>
      </c>
      <c r="AB18" s="19" t="s">
        <v>158</v>
      </c>
      <c r="AC18" s="19" t="s">
        <v>159</v>
      </c>
    </row>
    <row r="19" spans="1:29" ht="19" x14ac:dyDescent="0.25">
      <c r="A19" s="6" t="s">
        <v>14</v>
      </c>
      <c r="B19" s="10" t="s">
        <v>91</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U19" s="36">
        <v>22790000000</v>
      </c>
      <c r="V19" s="36">
        <v>25680000000</v>
      </c>
      <c r="W19" s="36">
        <v>28662000000</v>
      </c>
      <c r="X19" s="36">
        <v>30796000000</v>
      </c>
      <c r="Y19" s="36">
        <v>34173000000</v>
      </c>
      <c r="Z19" s="30">
        <f>T40-T56-T61</f>
        <v>-3928000000</v>
      </c>
      <c r="AA19" s="32">
        <f>AB101/U3</f>
        <v>14.867602565282764</v>
      </c>
      <c r="AB19" s="32">
        <f>AB101/U28</f>
        <v>26.895381626422427</v>
      </c>
      <c r="AC19" s="33">
        <f>AB101/U106</f>
        <v>26.686511346111477</v>
      </c>
    </row>
    <row r="20" spans="1:29" ht="19" customHeight="1" x14ac:dyDescent="0.25">
      <c r="A20" s="14" t="s">
        <v>100</v>
      </c>
      <c r="B20" s="1"/>
      <c r="C20" s="15" t="e">
        <f>(C19/B19)-1</f>
        <v>#VALUE!</v>
      </c>
      <c r="D20" s="15">
        <f>(D19/C19)-1</f>
        <v>1.0608155951503591</v>
      </c>
      <c r="E20" s="15">
        <f>(E19/D19)-1</f>
        <v>-1.4808460807584294</v>
      </c>
      <c r="F20" s="15">
        <f t="shared" ref="F20:O20" si="4">(F19/E19)-1</f>
        <v>-3.5024171074333164</v>
      </c>
      <c r="G20" s="15">
        <f t="shared" si="4"/>
        <v>1.5303030303030303</v>
      </c>
      <c r="H20" s="15">
        <f t="shared" si="4"/>
        <v>0.14624596959926306</v>
      </c>
      <c r="I20" s="15">
        <f t="shared" si="4"/>
        <v>0.20152702431183434</v>
      </c>
      <c r="J20" s="15">
        <f t="shared" si="4"/>
        <v>-0.57491638795986622</v>
      </c>
      <c r="K20" s="15">
        <f t="shared" si="4"/>
        <v>2.0110149488591662</v>
      </c>
      <c r="L20" s="15">
        <f t="shared" si="4"/>
        <v>6.5978573295009113E-2</v>
      </c>
      <c r="M20" s="15">
        <f t="shared" si="4"/>
        <v>0.16301017281529595</v>
      </c>
      <c r="N20" s="15">
        <f t="shared" si="4"/>
        <v>-5.7751080198124138E-2</v>
      </c>
      <c r="O20" s="15">
        <f t="shared" si="4"/>
        <v>0.43306117883905593</v>
      </c>
      <c r="P20" s="15">
        <f t="shared" ref="P20" si="5">(P19/O19)-1</f>
        <v>9.5059704987122462E-2</v>
      </c>
      <c r="Q20" s="15">
        <f t="shared" ref="Q20" si="6">(Q19/P19)-1</f>
        <v>0.14553488703584927</v>
      </c>
      <c r="R20" s="15">
        <f t="shared" ref="R20" si="7">(R19/Q19)-1</f>
        <v>-6.2216138866421966E-2</v>
      </c>
      <c r="S20" s="15">
        <f t="shared" ref="S20" si="8">(S19/R19)-1</f>
        <v>0.15305513169243024</v>
      </c>
      <c r="T20" s="15">
        <f t="shared" ref="T20:Y20" si="9">(T19/S19)-1</f>
        <v>0.12399309551208293</v>
      </c>
      <c r="U20" s="16">
        <f t="shared" si="9"/>
        <v>0.16662400819042733</v>
      </c>
      <c r="V20" s="16">
        <f t="shared" si="9"/>
        <v>0.12681000438788947</v>
      </c>
      <c r="W20" s="16">
        <f t="shared" si="9"/>
        <v>0.11612149532710281</v>
      </c>
      <c r="X20" s="16">
        <f t="shared" si="9"/>
        <v>7.4453980880608395E-2</v>
      </c>
      <c r="Y20" s="16">
        <f t="shared" si="9"/>
        <v>0.1096570983244578</v>
      </c>
    </row>
    <row r="21" spans="1:29" ht="20" x14ac:dyDescent="0.25">
      <c r="A21" s="5" t="s">
        <v>15</v>
      </c>
      <c r="B21" s="2" t="s">
        <v>91</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c r="U21" s="37">
        <f>U19/U3</f>
        <v>0.69931572002823039</v>
      </c>
      <c r="V21" s="37">
        <f t="shared" ref="V21:Y21" si="10">V19/V3</f>
        <v>0.70903970401457839</v>
      </c>
      <c r="W21" s="37">
        <f t="shared" si="10"/>
        <v>0.70892901310907741</v>
      </c>
      <c r="X21" s="37">
        <f t="shared" si="10"/>
        <v>0.71178292423612077</v>
      </c>
      <c r="Y21" s="37">
        <f t="shared" si="10"/>
        <v>0.68524162823340684</v>
      </c>
      <c r="AB21" s="18" t="s">
        <v>160</v>
      </c>
      <c r="AC21" s="19" t="s">
        <v>161</v>
      </c>
    </row>
    <row r="22" spans="1:29" ht="19" x14ac:dyDescent="0.25">
      <c r="A22" s="6" t="s">
        <v>16</v>
      </c>
      <c r="B22" s="10" t="s">
        <v>91</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c r="AB22" s="34">
        <f>(-1*T98)/AB101</f>
        <v>6.6106621332480808E-3</v>
      </c>
      <c r="AC22" s="35">
        <f>T107/AB101</f>
        <v>3.6900414698826857E-2</v>
      </c>
    </row>
    <row r="23" spans="1:29" ht="19" x14ac:dyDescent="0.25">
      <c r="A23" s="5" t="s">
        <v>17</v>
      </c>
      <c r="B23" s="2" t="s">
        <v>91</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9" ht="19" x14ac:dyDescent="0.25">
      <c r="A24" s="5" t="s">
        <v>18</v>
      </c>
      <c r="B24" s="1" t="s">
        <v>91</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9" ht="19" x14ac:dyDescent="0.25">
      <c r="A25" s="6" t="s">
        <v>19</v>
      </c>
      <c r="B25" s="10" t="s">
        <v>91</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9" ht="19" x14ac:dyDescent="0.25">
      <c r="A26" s="5" t="s">
        <v>20</v>
      </c>
      <c r="B26" s="2" t="s">
        <v>91</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9" ht="19" x14ac:dyDescent="0.25">
      <c r="A27" s="5" t="s">
        <v>21</v>
      </c>
      <c r="B27" s="1" t="s">
        <v>91</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9" ht="20" thickBot="1" x14ac:dyDescent="0.3">
      <c r="A28" s="7" t="s">
        <v>22</v>
      </c>
      <c r="B28" s="11" t="s">
        <v>91</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c r="U28" s="38">
        <v>18015000000</v>
      </c>
      <c r="V28" s="38">
        <v>20092000000</v>
      </c>
      <c r="W28" s="38">
        <v>22564000000</v>
      </c>
      <c r="X28" s="38">
        <v>24140000000</v>
      </c>
      <c r="Y28" s="38">
        <v>26822000000</v>
      </c>
    </row>
    <row r="29" spans="1:29" ht="20" customHeight="1" thickTop="1" x14ac:dyDescent="0.25">
      <c r="A29" s="14" t="s">
        <v>101</v>
      </c>
      <c r="B29" s="1"/>
      <c r="C29" s="15" t="e">
        <f>(C28/B28)-1</f>
        <v>#VALUE!</v>
      </c>
      <c r="D29" s="15">
        <f>(D28/C28)-1</f>
        <v>0.71726211839018372</v>
      </c>
      <c r="E29" s="15">
        <f>(E28/D28)-1</f>
        <v>-3.3673280373811214</v>
      </c>
      <c r="F29" s="15">
        <f t="shared" ref="F29:O29" si="11">(F28/E28)-1</f>
        <v>-1.7471459304243584</v>
      </c>
      <c r="G29" s="15">
        <f t="shared" si="11"/>
        <v>1.9266169154228856</v>
      </c>
      <c r="H29" s="15">
        <f t="shared" si="11"/>
        <v>0.2605184870378241</v>
      </c>
      <c r="I29" s="15">
        <f t="shared" si="11"/>
        <v>0.23061362103843552</v>
      </c>
      <c r="J29" s="15">
        <f t="shared" si="11"/>
        <v>-0.41260273972602735</v>
      </c>
      <c r="K29" s="15">
        <f t="shared" si="11"/>
        <v>1.3227611940298507</v>
      </c>
      <c r="L29" s="15">
        <f t="shared" si="11"/>
        <v>9.1967871485943764E-2</v>
      </c>
      <c r="M29" s="15">
        <f t="shared" si="11"/>
        <v>0.1636631114380287</v>
      </c>
      <c r="N29" s="15">
        <f t="shared" si="11"/>
        <v>-5.3255372945638424E-2</v>
      </c>
      <c r="O29" s="15">
        <f t="shared" si="11"/>
        <v>0.11817726589884825</v>
      </c>
      <c r="P29" s="15">
        <f t="shared" ref="P29" si="12">(P28/O28)-1</f>
        <v>0.53769219286460657</v>
      </c>
      <c r="Q29" s="15">
        <f t="shared" ref="Q29" si="13">(Q28/P28)-1</f>
        <v>0.17270167944859716</v>
      </c>
      <c r="R29" s="15">
        <f t="shared" ref="R29" si="14">(R28/Q28)-1</f>
        <v>-0.10049668874172191</v>
      </c>
      <c r="S29" s="15">
        <f t="shared" ref="S29" si="15">(S28/R28)-1</f>
        <v>0.13298361862690955</v>
      </c>
      <c r="T29" s="15">
        <f t="shared" ref="T29:Y29" si="16">(T28/S28)-1</f>
        <v>0.21492973763301104</v>
      </c>
      <c r="U29" s="16">
        <f t="shared" si="16"/>
        <v>0.20445276459182993</v>
      </c>
      <c r="V29" s="16">
        <f t="shared" si="16"/>
        <v>0.11529281154593396</v>
      </c>
      <c r="W29" s="16">
        <f t="shared" si="16"/>
        <v>0.12303404340035828</v>
      </c>
      <c r="X29" s="16">
        <f t="shared" si="16"/>
        <v>6.984577202623643E-2</v>
      </c>
      <c r="Y29" s="16">
        <f t="shared" si="16"/>
        <v>0.11110190555095278</v>
      </c>
    </row>
    <row r="30" spans="1:29" ht="19" x14ac:dyDescent="0.25">
      <c r="A30" s="5" t="s">
        <v>23</v>
      </c>
      <c r="B30" s="2" t="s">
        <v>91</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c r="U30" s="39">
        <f>U28/U3</f>
        <v>0.55279388750805492</v>
      </c>
      <c r="V30" s="39">
        <f t="shared" ref="V30:Y30" si="17">V28/V3</f>
        <v>0.55475178088243415</v>
      </c>
      <c r="W30" s="39">
        <f t="shared" si="17"/>
        <v>0.55810042047984165</v>
      </c>
      <c r="X30" s="39">
        <f t="shared" si="17"/>
        <v>0.55794388203208056</v>
      </c>
      <c r="Y30" s="39">
        <f t="shared" si="17"/>
        <v>0.53783837978744742</v>
      </c>
    </row>
    <row r="31" spans="1:29" ht="19" x14ac:dyDescent="0.25">
      <c r="A31" s="5" t="s">
        <v>24</v>
      </c>
      <c r="B31" s="12" t="s">
        <v>91</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c r="U31" s="40">
        <v>8.7899999999999991</v>
      </c>
      <c r="V31" s="40">
        <v>9.81</v>
      </c>
      <c r="W31" s="40">
        <v>11.01</v>
      </c>
      <c r="X31" s="40">
        <v>11.78</v>
      </c>
      <c r="Y31" s="40">
        <v>13.09</v>
      </c>
    </row>
    <row r="32" spans="1:29" ht="19" x14ac:dyDescent="0.25">
      <c r="A32" s="5" t="s">
        <v>25</v>
      </c>
      <c r="B32" s="12" t="s">
        <v>91</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0" ht="19" x14ac:dyDescent="0.25">
      <c r="A33" s="5" t="s">
        <v>26</v>
      </c>
      <c r="B33" s="1" t="s">
        <v>91</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row>
    <row r="34" spans="1:20" ht="19" x14ac:dyDescent="0.25">
      <c r="A34" s="5" t="s">
        <v>27</v>
      </c>
      <c r="B34" s="1" t="s">
        <v>91</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row>
    <row r="35" spans="1:20" ht="20" customHeight="1" x14ac:dyDescent="0.25">
      <c r="A35" s="14" t="s">
        <v>102</v>
      </c>
      <c r="B35" s="1"/>
      <c r="C35" s="22" t="e">
        <f>(C34-B34)/B34</f>
        <v>#VALUE!</v>
      </c>
      <c r="D35" s="22">
        <f t="shared" ref="D35:O35" si="18">(D34-C34)/C34</f>
        <v>0</v>
      </c>
      <c r="E35" s="22">
        <f t="shared" si="18"/>
        <v>0</v>
      </c>
      <c r="F35" s="22">
        <f t="shared" si="18"/>
        <v>-7.7419354838709677E-3</v>
      </c>
      <c r="G35" s="22">
        <f t="shared" si="18"/>
        <v>-1.4304291287386216E-2</v>
      </c>
      <c r="H35" s="22">
        <f t="shared" si="18"/>
        <v>0.44591029023746703</v>
      </c>
      <c r="I35" s="22">
        <f t="shared" si="18"/>
        <v>-6.7518248175182483E-2</v>
      </c>
      <c r="J35" s="22">
        <f t="shared" si="18"/>
        <v>-5.6751467710371817E-2</v>
      </c>
      <c r="K35" s="22">
        <f t="shared" si="18"/>
        <v>-0.31950207468879666</v>
      </c>
      <c r="L35" s="22">
        <f t="shared" si="18"/>
        <v>-3.8109756097560975E-2</v>
      </c>
      <c r="M35" s="22">
        <f t="shared" si="18"/>
        <v>-2.6545166402535656E-2</v>
      </c>
      <c r="N35" s="22">
        <f t="shared" si="18"/>
        <v>-1.7501017501017502E-2</v>
      </c>
      <c r="O35" s="22">
        <f t="shared" si="18"/>
        <v>-7.870753935376968E-3</v>
      </c>
      <c r="P35" s="22">
        <f t="shared" ref="P35" si="19">(P34-O34)/O34</f>
        <v>-2.7557411273486428E-2</v>
      </c>
      <c r="Q35" s="22">
        <f t="shared" ref="Q35" si="20">(Q34-P34)/P34</f>
        <v>-2.4474023185916703E-2</v>
      </c>
      <c r="R35" s="22">
        <f t="shared" ref="R35" si="21">(R34-Q34)/Q34</f>
        <v>-2.1566901408450703E-2</v>
      </c>
      <c r="S35" s="22">
        <f t="shared" ref="S35" si="22">(S34-R34)/R34</f>
        <v>-1.5744489428699954E-2</v>
      </c>
      <c r="T35" s="22">
        <f t="shared" ref="T35" si="23">(T34-S34)/S34</f>
        <v>0</v>
      </c>
    </row>
    <row r="36" spans="1:20"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row>
    <row r="37" spans="1:20"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row>
    <row r="38" spans="1:20" ht="19" x14ac:dyDescent="0.25">
      <c r="A38" s="5" t="s">
        <v>30</v>
      </c>
      <c r="B38" s="1" t="s">
        <v>91</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0" ht="19" x14ac:dyDescent="0.25">
      <c r="A39" s="5" t="s">
        <v>31</v>
      </c>
      <c r="B39" s="1" t="s">
        <v>91</v>
      </c>
      <c r="C39" s="1" t="s">
        <v>91</v>
      </c>
      <c r="D39" s="1" t="s">
        <v>91</v>
      </c>
      <c r="E39" s="1" t="s">
        <v>91</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0" ht="19" x14ac:dyDescent="0.25">
      <c r="A40" s="5" t="s">
        <v>32</v>
      </c>
      <c r="B40" s="1" t="s">
        <v>91</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0" ht="19" x14ac:dyDescent="0.25">
      <c r="A41" s="5" t="s">
        <v>33</v>
      </c>
      <c r="B41" s="1" t="s">
        <v>91</v>
      </c>
      <c r="C41" s="1" t="s">
        <v>91</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0"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row>
    <row r="43" spans="1:20" ht="19" x14ac:dyDescent="0.25">
      <c r="A43" s="5" t="s">
        <v>35</v>
      </c>
      <c r="B43" s="1" t="s">
        <v>91</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0" ht="19" x14ac:dyDescent="0.25">
      <c r="A44" s="6" t="s">
        <v>36</v>
      </c>
      <c r="B44" s="10" t="s">
        <v>91</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0" ht="19" x14ac:dyDescent="0.25">
      <c r="A45" s="5" t="s">
        <v>37</v>
      </c>
      <c r="B45" s="1" t="s">
        <v>91</v>
      </c>
      <c r="C45" s="1" t="s">
        <v>91</v>
      </c>
      <c r="D45" s="1" t="s">
        <v>91</v>
      </c>
      <c r="E45" s="1" t="s">
        <v>91</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0" ht="19" x14ac:dyDescent="0.25">
      <c r="A46" s="5" t="s">
        <v>38</v>
      </c>
      <c r="B46" s="1" t="s">
        <v>91</v>
      </c>
      <c r="C46" s="1" t="s">
        <v>91</v>
      </c>
      <c r="D46" s="1" t="s">
        <v>91</v>
      </c>
      <c r="E46" s="1" t="s">
        <v>91</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0" ht="19" x14ac:dyDescent="0.25">
      <c r="A47" s="5" t="s">
        <v>39</v>
      </c>
      <c r="B47" s="1" t="s">
        <v>91</v>
      </c>
      <c r="C47" s="1" t="s">
        <v>91</v>
      </c>
      <c r="D47" s="1" t="s">
        <v>91</v>
      </c>
      <c r="E47" s="1" t="s">
        <v>91</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0" ht="19" x14ac:dyDescent="0.25">
      <c r="A48" s="5" t="s">
        <v>40</v>
      </c>
      <c r="B48" s="1" t="s">
        <v>91</v>
      </c>
      <c r="C48" s="1" t="s">
        <v>91</v>
      </c>
      <c r="D48" s="1" t="s">
        <v>91</v>
      </c>
      <c r="E48" s="1" t="s">
        <v>91</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91</v>
      </c>
      <c r="C49" s="1" t="s">
        <v>91</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91</v>
      </c>
      <c r="C50" s="1" t="s">
        <v>91</v>
      </c>
      <c r="D50" s="1">
        <v>237533000</v>
      </c>
      <c r="E50" s="1">
        <v>470626000</v>
      </c>
      <c r="F50" s="1" t="s">
        <v>91</v>
      </c>
      <c r="G50" s="1" t="s">
        <v>91</v>
      </c>
      <c r="H50" s="1" t="s">
        <v>91</v>
      </c>
      <c r="I50" s="1" t="s">
        <v>91</v>
      </c>
      <c r="J50" s="1" t="s">
        <v>91</v>
      </c>
      <c r="K50" s="1" t="s">
        <v>91</v>
      </c>
      <c r="L50" s="1">
        <v>8000000</v>
      </c>
      <c r="M50" s="1">
        <v>11000000</v>
      </c>
      <c r="N50" s="1">
        <v>22000000</v>
      </c>
      <c r="O50" s="1" t="s">
        <v>91</v>
      </c>
      <c r="P50" s="1" t="s">
        <v>91</v>
      </c>
      <c r="Q50" s="1" t="s">
        <v>91</v>
      </c>
      <c r="R50" s="1" t="s">
        <v>91</v>
      </c>
      <c r="S50" s="1" t="s">
        <v>91</v>
      </c>
      <c r="T50" s="1" t="s">
        <v>91</v>
      </c>
    </row>
    <row r="51" spans="1:20" ht="19" x14ac:dyDescent="0.25">
      <c r="A51" s="5" t="s">
        <v>43</v>
      </c>
      <c r="B51" s="1" t="s">
        <v>91</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91</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row>
    <row r="54" spans="1:20" ht="19" x14ac:dyDescent="0.25">
      <c r="A54" s="7" t="s">
        <v>46</v>
      </c>
      <c r="B54" s="11" t="s">
        <v>91</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91</v>
      </c>
      <c r="C55" s="1" t="s">
        <v>91</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91</v>
      </c>
      <c r="C56" s="1">
        <v>174000000</v>
      </c>
      <c r="D56" s="1">
        <v>32339000</v>
      </c>
      <c r="E56" s="1">
        <v>41280000</v>
      </c>
      <c r="F56" s="1">
        <v>51000000</v>
      </c>
      <c r="G56" s="1">
        <v>12000000</v>
      </c>
      <c r="H56" s="1">
        <v>12000000</v>
      </c>
      <c r="I56" s="1" t="s">
        <v>91</v>
      </c>
      <c r="J56" s="1" t="s">
        <v>91</v>
      </c>
      <c r="K56" s="1" t="s">
        <v>91</v>
      </c>
      <c r="L56" s="1" t="s">
        <v>91</v>
      </c>
      <c r="M56" s="1" t="s">
        <v>91</v>
      </c>
      <c r="N56" s="1" t="s">
        <v>91</v>
      </c>
      <c r="O56" s="1">
        <v>1749000000</v>
      </c>
      <c r="P56" s="1" t="s">
        <v>91</v>
      </c>
      <c r="Q56" s="1" t="s">
        <v>91</v>
      </c>
      <c r="R56" s="1">
        <v>2999000000</v>
      </c>
      <c r="S56" s="1">
        <v>999000000</v>
      </c>
      <c r="T56" s="1">
        <v>2250000000</v>
      </c>
    </row>
    <row r="57" spans="1:20" ht="19" x14ac:dyDescent="0.25">
      <c r="A57" s="5" t="s">
        <v>49</v>
      </c>
      <c r="B57" s="1" t="s">
        <v>91</v>
      </c>
      <c r="C57" s="1" t="s">
        <v>91</v>
      </c>
      <c r="D57" s="1" t="s">
        <v>91</v>
      </c>
      <c r="E57" s="1">
        <v>148551000</v>
      </c>
      <c r="F57" s="1">
        <v>122000000</v>
      </c>
      <c r="G57" s="1">
        <v>327000000</v>
      </c>
      <c r="H57" s="1">
        <v>40000000</v>
      </c>
      <c r="I57" s="1">
        <v>63000000</v>
      </c>
      <c r="J57" s="1">
        <v>58000000</v>
      </c>
      <c r="K57" s="1">
        <v>64000000</v>
      </c>
      <c r="L57" s="1">
        <v>73000000</v>
      </c>
      <c r="M57" s="1">
        <v>75000000</v>
      </c>
      <c r="N57" s="1">
        <v>153000000</v>
      </c>
      <c r="O57" s="1">
        <v>243000000</v>
      </c>
      <c r="P57" s="1" t="s">
        <v>91</v>
      </c>
      <c r="Q57" s="1" t="s">
        <v>91</v>
      </c>
      <c r="R57" s="1" t="s">
        <v>91</v>
      </c>
      <c r="S57" s="1" t="s">
        <v>91</v>
      </c>
      <c r="T57" s="1" t="s">
        <v>91</v>
      </c>
    </row>
    <row r="58" spans="1:20" ht="19" x14ac:dyDescent="0.25">
      <c r="A58" s="5" t="s">
        <v>50</v>
      </c>
      <c r="B58" s="1" t="s">
        <v>91</v>
      </c>
      <c r="C58" s="1" t="s">
        <v>91</v>
      </c>
      <c r="D58" s="1" t="s">
        <v>91</v>
      </c>
      <c r="E58" s="1" t="s">
        <v>91</v>
      </c>
      <c r="F58" s="1">
        <v>37000000</v>
      </c>
      <c r="G58" s="1">
        <v>39000000</v>
      </c>
      <c r="H58" s="1">
        <v>42000000</v>
      </c>
      <c r="I58" s="1">
        <v>63000000</v>
      </c>
      <c r="J58" s="1">
        <v>59000000</v>
      </c>
      <c r="K58" s="1">
        <v>60000000</v>
      </c>
      <c r="L58" s="1">
        <v>82000000</v>
      </c>
      <c r="M58" s="1">
        <v>81000000</v>
      </c>
      <c r="N58" s="1" t="s">
        <v>91</v>
      </c>
      <c r="O58" s="1" t="s">
        <v>91</v>
      </c>
      <c r="P58" s="1" t="s">
        <v>91</v>
      </c>
      <c r="Q58" s="1" t="s">
        <v>91</v>
      </c>
      <c r="R58" s="1" t="s">
        <v>91</v>
      </c>
      <c r="S58" s="1" t="s">
        <v>91</v>
      </c>
      <c r="T58" s="1" t="s">
        <v>91</v>
      </c>
    </row>
    <row r="59" spans="1:20" ht="19" x14ac:dyDescent="0.25">
      <c r="A59" s="5" t="s">
        <v>51</v>
      </c>
      <c r="B59" s="1" t="s">
        <v>91</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91</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91</v>
      </c>
      <c r="C61" s="1" t="s">
        <v>91</v>
      </c>
      <c r="D61" s="1">
        <v>41280000</v>
      </c>
      <c r="E61" s="1" t="s">
        <v>91</v>
      </c>
      <c r="F61" s="1">
        <v>55000000</v>
      </c>
      <c r="G61" s="1">
        <v>44000000</v>
      </c>
      <c r="H61" s="1">
        <v>32000000</v>
      </c>
      <c r="I61" s="1" t="s">
        <v>91</v>
      </c>
      <c r="J61" s="1" t="s">
        <v>91</v>
      </c>
      <c r="K61" s="1" t="s">
        <v>91</v>
      </c>
      <c r="L61" s="1" t="s">
        <v>91</v>
      </c>
      <c r="M61" s="1" t="s">
        <v>91</v>
      </c>
      <c r="N61" s="1">
        <v>15882000000</v>
      </c>
      <c r="O61" s="1">
        <v>16618000000</v>
      </c>
      <c r="P61" s="1">
        <v>16630000000</v>
      </c>
      <c r="Q61" s="1">
        <v>16729000000</v>
      </c>
      <c r="R61" s="1">
        <v>21071000000</v>
      </c>
      <c r="S61" s="1">
        <v>19978000000</v>
      </c>
      <c r="T61" s="1">
        <v>20200000000</v>
      </c>
    </row>
    <row r="62" spans="1:2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row>
    <row r="63" spans="1:20" ht="19" x14ac:dyDescent="0.25">
      <c r="A63" s="5" t="s">
        <v>54</v>
      </c>
      <c r="B63" s="1" t="s">
        <v>91</v>
      </c>
      <c r="C63" s="1" t="s">
        <v>91</v>
      </c>
      <c r="D63" s="1" t="s">
        <v>91</v>
      </c>
      <c r="E63" s="1" t="s">
        <v>91</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91</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91</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row>
    <row r="67" spans="1:20" ht="19" x14ac:dyDescent="0.25">
      <c r="A67" s="6" t="s">
        <v>58</v>
      </c>
      <c r="B67" s="10" t="s">
        <v>91</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v>21869000000</v>
      </c>
    </row>
    <row r="69" spans="1:20" ht="19" x14ac:dyDescent="0.25">
      <c r="A69" s="5" t="s">
        <v>60</v>
      </c>
      <c r="B69" s="1" t="s">
        <v>91</v>
      </c>
      <c r="C69" s="1" t="s">
        <v>91</v>
      </c>
      <c r="D69" s="1" t="s">
        <v>91</v>
      </c>
      <c r="E69" s="1" t="s">
        <v>91</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91</v>
      </c>
      <c r="C70" s="1" t="s">
        <v>91</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91</v>
      </c>
      <c r="C71" s="1">
        <v>-440000000</v>
      </c>
      <c r="D71" s="1" t="s">
        <v>91</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91</v>
      </c>
    </row>
    <row r="72" spans="1:20" ht="19" x14ac:dyDescent="0.25">
      <c r="A72" s="6" t="s">
        <v>63</v>
      </c>
      <c r="B72" s="10" t="s">
        <v>91</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91</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row>
    <row r="75" spans="1:2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row>
    <row r="76" spans="1:20" ht="19" x14ac:dyDescent="0.25">
      <c r="A76" s="5" t="s">
        <v>66</v>
      </c>
      <c r="B76" s="1" t="s">
        <v>91</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91</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91</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91</v>
      </c>
      <c r="C79" s="1" t="s">
        <v>91</v>
      </c>
      <c r="D79" s="1" t="s">
        <v>91</v>
      </c>
      <c r="E79" s="1" t="s">
        <v>91</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103</v>
      </c>
      <c r="B80" s="15" t="e">
        <f t="shared" ref="B80:T80" si="24">B79/B3</f>
        <v>#VALUE!</v>
      </c>
      <c r="C80" s="15" t="e">
        <f t="shared" si="24"/>
        <v>#VALUE!</v>
      </c>
      <c r="D80" s="15" t="e">
        <f t="shared" si="24"/>
        <v>#VALUE!</v>
      </c>
      <c r="E80" s="15" t="e">
        <f t="shared" si="24"/>
        <v>#VALUE!</v>
      </c>
      <c r="F80" s="15">
        <f t="shared" si="24"/>
        <v>1.181542391825004E-2</v>
      </c>
      <c r="G80" s="15">
        <f t="shared" si="24"/>
        <v>1.6640138908985674E-2</v>
      </c>
      <c r="H80" s="15">
        <f t="shared" si="24"/>
        <v>1.6243025418474891E-2</v>
      </c>
      <c r="I80" s="15">
        <f t="shared" si="24"/>
        <v>1.6760992599042228E-2</v>
      </c>
      <c r="J80" s="15">
        <f t="shared" si="24"/>
        <v>1.4106131849150754E-2</v>
      </c>
      <c r="K80" s="15">
        <f t="shared" si="24"/>
        <v>1.5197826456104601E-2</v>
      </c>
      <c r="L80" s="15">
        <f t="shared" si="24"/>
        <v>1.3541174618170367E-2</v>
      </c>
      <c r="M80" s="15">
        <f t="shared" si="24"/>
        <v>1.3472622478386168E-2</v>
      </c>
      <c r="N80" s="15">
        <f t="shared" si="24"/>
        <v>1.4653229014719533E-2</v>
      </c>
      <c r="O80" s="15">
        <f t="shared" si="24"/>
        <v>1.2800958710099139E-2</v>
      </c>
      <c r="P80" s="15">
        <f t="shared" si="24"/>
        <v>1.5866854286962006E-2</v>
      </c>
      <c r="Q80" s="15">
        <f t="shared" si="24"/>
        <v>1.7713365539452495E-2</v>
      </c>
      <c r="R80" s="15">
        <f t="shared" si="24"/>
        <v>1.9042387622448045E-2</v>
      </c>
      <c r="S80" s="15">
        <f t="shared" si="24"/>
        <v>2.2484961626218627E-2</v>
      </c>
      <c r="T80" s="15">
        <f t="shared" si="24"/>
        <v>2.0539065165472534E-2</v>
      </c>
    </row>
    <row r="81" spans="1:28" ht="19" x14ac:dyDescent="0.25">
      <c r="A81" s="5" t="s">
        <v>69</v>
      </c>
      <c r="B81" s="1" t="s">
        <v>91</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91</v>
      </c>
      <c r="C82" s="1">
        <v>-14285000</v>
      </c>
      <c r="D82" s="1" t="s">
        <v>91</v>
      </c>
      <c r="E82" s="1" t="s">
        <v>91</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21"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c r="AA83" s="42" t="s">
        <v>123</v>
      </c>
      <c r="AB83" s="43"/>
    </row>
    <row r="84" spans="1:28" ht="19" x14ac:dyDescent="0.25">
      <c r="A84" s="5" t="s">
        <v>47</v>
      </c>
      <c r="B84" s="1" t="s">
        <v>91</v>
      </c>
      <c r="C84" s="1">
        <v>56580000</v>
      </c>
      <c r="D84" s="1" t="s">
        <v>91</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AA84" s="44" t="s">
        <v>124</v>
      </c>
      <c r="AB84" s="44"/>
    </row>
    <row r="85" spans="1:28" ht="20" x14ac:dyDescent="0.25">
      <c r="A85" s="5" t="s">
        <v>71</v>
      </c>
      <c r="B85" s="1" t="s">
        <v>91</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AA85" s="45" t="s">
        <v>125</v>
      </c>
      <c r="AB85" s="46">
        <f>T17</f>
        <v>538000000</v>
      </c>
    </row>
    <row r="86" spans="1:28" ht="20" x14ac:dyDescent="0.25">
      <c r="A86" s="5" t="s">
        <v>72</v>
      </c>
      <c r="B86" s="1" t="s">
        <v>91</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AA86" s="45" t="s">
        <v>126</v>
      </c>
      <c r="AB86" s="46">
        <f>T56</f>
        <v>2250000000</v>
      </c>
    </row>
    <row r="87" spans="1:28" ht="20" x14ac:dyDescent="0.25">
      <c r="A87" s="6" t="s">
        <v>73</v>
      </c>
      <c r="B87" s="10" t="s">
        <v>91</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AA87" s="45" t="s">
        <v>127</v>
      </c>
      <c r="AB87" s="46">
        <f>T61</f>
        <v>20200000000</v>
      </c>
    </row>
    <row r="88" spans="1:28" ht="20" x14ac:dyDescent="0.25">
      <c r="A88" s="5" t="s">
        <v>74</v>
      </c>
      <c r="B88" s="1" t="s">
        <v>91</v>
      </c>
      <c r="C88" s="1">
        <v>-119267000</v>
      </c>
      <c r="D88" s="1" t="s">
        <v>91</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AA88" s="47" t="s">
        <v>128</v>
      </c>
      <c r="AB88" s="48">
        <f>AB85/(AB86+AB87)</f>
        <v>2.396436525612472E-2</v>
      </c>
    </row>
    <row r="89" spans="1:28" ht="20" customHeight="1" x14ac:dyDescent="0.25">
      <c r="A89" s="14" t="s">
        <v>104</v>
      </c>
      <c r="B89" s="15" t="e">
        <f t="shared" ref="B89:T89" si="25">(-1*B88)/B3</f>
        <v>#VALUE!</v>
      </c>
      <c r="C89" s="15">
        <f t="shared" si="25"/>
        <v>4.4759729866152773E-2</v>
      </c>
      <c r="D89" s="15" t="e">
        <f t="shared" si="25"/>
        <v>#VALUE!</v>
      </c>
      <c r="E89" s="15">
        <f t="shared" si="25"/>
        <v>4.4559635143612615E-2</v>
      </c>
      <c r="F89" s="15">
        <f t="shared" si="25"/>
        <v>6.6262174676672517E-2</v>
      </c>
      <c r="G89" s="15">
        <f t="shared" si="25"/>
        <v>4.427723918390971E-2</v>
      </c>
      <c r="H89" s="15">
        <f t="shared" si="25"/>
        <v>2.9882207067575946E-2</v>
      </c>
      <c r="I89" s="15">
        <f t="shared" si="25"/>
        <v>3.8419677840661734E-2</v>
      </c>
      <c r="J89" s="15">
        <f t="shared" si="25"/>
        <v>3.6080990308031857E-2</v>
      </c>
      <c r="K89" s="15">
        <f t="shared" si="25"/>
        <v>0</v>
      </c>
      <c r="L89" s="15">
        <f t="shared" si="25"/>
        <v>0</v>
      </c>
      <c r="M89" s="15">
        <f t="shared" si="25"/>
        <v>0</v>
      </c>
      <c r="N89" s="15">
        <f t="shared" si="25"/>
        <v>0</v>
      </c>
      <c r="O89" s="15">
        <f t="shared" si="25"/>
        <v>0</v>
      </c>
      <c r="P89" s="15">
        <f t="shared" si="25"/>
        <v>0</v>
      </c>
      <c r="Q89" s="15">
        <f t="shared" si="25"/>
        <v>3.2902467685076382E-2</v>
      </c>
      <c r="R89" s="15">
        <f t="shared" si="25"/>
        <v>3.3690378101254234E-2</v>
      </c>
      <c r="S89" s="15">
        <f t="shared" si="25"/>
        <v>2.924704418170504E-2</v>
      </c>
      <c r="T89" s="15">
        <f t="shared" si="25"/>
        <v>3.3094506994199933E-2</v>
      </c>
      <c r="AA89" s="45" t="s">
        <v>105</v>
      </c>
      <c r="AB89" s="46">
        <f>T27</f>
        <v>3179000000</v>
      </c>
    </row>
    <row r="90" spans="1:28" ht="20" x14ac:dyDescent="0.25">
      <c r="A90" s="5" t="s">
        <v>75</v>
      </c>
      <c r="B90" s="1" t="s">
        <v>91</v>
      </c>
      <c r="C90" s="1">
        <v>97424000</v>
      </c>
      <c r="D90" s="1" t="s">
        <v>91</v>
      </c>
      <c r="E90" s="1">
        <v>-2500000</v>
      </c>
      <c r="F90" s="1" t="s">
        <v>91</v>
      </c>
      <c r="G90" s="1" t="s">
        <v>91</v>
      </c>
      <c r="H90" s="1">
        <v>-1805000000</v>
      </c>
      <c r="I90" s="1">
        <v>-268000000</v>
      </c>
      <c r="J90" s="1">
        <v>-3000000</v>
      </c>
      <c r="K90" s="1" t="s">
        <v>91</v>
      </c>
      <c r="L90" s="1">
        <v>-149000000</v>
      </c>
      <c r="M90" s="1">
        <v>-93000000</v>
      </c>
      <c r="N90" s="1">
        <v>-9082000000</v>
      </c>
      <c r="O90" s="1">
        <v>-302000000</v>
      </c>
      <c r="P90" s="1">
        <v>-196000000</v>
      </c>
      <c r="Q90" s="1">
        <v>-699000000</v>
      </c>
      <c r="R90" s="1">
        <v>-77000000</v>
      </c>
      <c r="S90" s="1">
        <v>-75000000</v>
      </c>
      <c r="T90" s="1">
        <v>-1948000000</v>
      </c>
      <c r="AA90" s="45" t="s">
        <v>19</v>
      </c>
      <c r="AB90" s="46">
        <f>T25</f>
        <v>18136000000</v>
      </c>
    </row>
    <row r="91" spans="1:28" ht="20" x14ac:dyDescent="0.25">
      <c r="A91" s="5" t="s">
        <v>76</v>
      </c>
      <c r="B91" s="1" t="s">
        <v>91</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AA91" s="47" t="s">
        <v>129</v>
      </c>
      <c r="AB91" s="48">
        <f>AB89/AB90</f>
        <v>0.17528672254080283</v>
      </c>
    </row>
    <row r="92" spans="1:28" ht="20" x14ac:dyDescent="0.25">
      <c r="A92" s="5" t="s">
        <v>77</v>
      </c>
      <c r="B92" s="1" t="s">
        <v>91</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AA92" s="47" t="s">
        <v>130</v>
      </c>
      <c r="AB92" s="48">
        <f>AB88*(1-AB91)</f>
        <v>1.9763730212607931E-2</v>
      </c>
    </row>
    <row r="93" spans="1:28" ht="19" x14ac:dyDescent="0.25">
      <c r="A93" s="5" t="s">
        <v>78</v>
      </c>
      <c r="B93" s="1" t="s">
        <v>91</v>
      </c>
      <c r="C93" s="1">
        <v>20000000</v>
      </c>
      <c r="D93" s="1">
        <v>-87265000</v>
      </c>
      <c r="E93" s="1">
        <v>478000</v>
      </c>
      <c r="F93" s="1">
        <v>1028000000</v>
      </c>
      <c r="G93" s="1">
        <v>886000000</v>
      </c>
      <c r="H93" s="1">
        <v>94000000</v>
      </c>
      <c r="I93" s="1" t="s">
        <v>91</v>
      </c>
      <c r="J93" s="1">
        <v>2000000</v>
      </c>
      <c r="K93" s="1">
        <v>-471000000</v>
      </c>
      <c r="L93" s="1">
        <v>-553000000</v>
      </c>
      <c r="M93" s="1">
        <v>-404000000</v>
      </c>
      <c r="N93" s="1">
        <v>-523000000</v>
      </c>
      <c r="O93" s="1">
        <v>-695000000</v>
      </c>
      <c r="P93" s="1">
        <v>-704000000</v>
      </c>
      <c r="Q93" s="1">
        <v>10000000</v>
      </c>
      <c r="R93" s="1">
        <v>72000000</v>
      </c>
      <c r="S93" s="1">
        <v>109000000</v>
      </c>
      <c r="T93" s="1">
        <v>128000000</v>
      </c>
      <c r="AA93" s="44" t="s">
        <v>131</v>
      </c>
      <c r="AB93" s="44"/>
    </row>
    <row r="94" spans="1:28" ht="20" x14ac:dyDescent="0.25">
      <c r="A94" s="6" t="s">
        <v>79</v>
      </c>
      <c r="B94" s="10" t="s">
        <v>91</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AA94" s="45" t="s">
        <v>132</v>
      </c>
      <c r="AB94" s="67">
        <f>[1]Treasuries!$C$8</f>
        <v>4.0480000000000002E-2</v>
      </c>
    </row>
    <row r="95" spans="1:28" ht="20" x14ac:dyDescent="0.25">
      <c r="A95" s="5" t="s">
        <v>80</v>
      </c>
      <c r="B95" s="1" t="s">
        <v>91</v>
      </c>
      <c r="C95" s="1">
        <v>-33768000</v>
      </c>
      <c r="D95" s="1">
        <v>-36579000</v>
      </c>
      <c r="E95" s="1">
        <v>-36651000</v>
      </c>
      <c r="F95" s="1">
        <v>-24000000</v>
      </c>
      <c r="G95" s="1">
        <v>-54000000</v>
      </c>
      <c r="H95" s="1">
        <v>-24000000</v>
      </c>
      <c r="I95" s="1">
        <v>-54000000</v>
      </c>
      <c r="J95" s="1">
        <v>-6000000</v>
      </c>
      <c r="K95" s="1">
        <v>-6000000</v>
      </c>
      <c r="L95" s="1" t="s">
        <v>91</v>
      </c>
      <c r="M95" s="1" t="s">
        <v>91</v>
      </c>
      <c r="N95" s="1" t="s">
        <v>91</v>
      </c>
      <c r="O95" s="1" t="s">
        <v>91</v>
      </c>
      <c r="P95" s="1">
        <v>-1750000000</v>
      </c>
      <c r="Q95" s="1" t="s">
        <v>91</v>
      </c>
      <c r="R95" s="1" t="s">
        <v>91</v>
      </c>
      <c r="S95" s="1">
        <v>-3000000000</v>
      </c>
      <c r="T95" s="1">
        <v>-1000000000</v>
      </c>
      <c r="AA95" s="45" t="s">
        <v>133</v>
      </c>
      <c r="AB95" s="50" cm="1">
        <f t="array" ref="AB95">_FV(A1,"Beta")</f>
        <v>0.97019999999999995</v>
      </c>
    </row>
    <row r="96" spans="1:28" ht="20" x14ac:dyDescent="0.25">
      <c r="A96" s="5" t="s">
        <v>81</v>
      </c>
      <c r="B96" s="1" t="s">
        <v>91</v>
      </c>
      <c r="C96" s="1" t="s">
        <v>91</v>
      </c>
      <c r="D96" s="1" t="s">
        <v>91</v>
      </c>
      <c r="E96" s="1" t="s">
        <v>91</v>
      </c>
      <c r="F96" s="1">
        <v>19100000000</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AA96" s="45" t="s">
        <v>134</v>
      </c>
      <c r="AB96" s="49">
        <v>8.4000000000000005E-2</v>
      </c>
    </row>
    <row r="97" spans="1:28" ht="20" x14ac:dyDescent="0.25">
      <c r="A97" s="5" t="s">
        <v>82</v>
      </c>
      <c r="B97" s="1" t="s">
        <v>91</v>
      </c>
      <c r="C97" s="1" t="s">
        <v>91</v>
      </c>
      <c r="D97" s="1" t="s">
        <v>91</v>
      </c>
      <c r="E97" s="1" t="s">
        <v>91</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AA97" s="47" t="s">
        <v>135</v>
      </c>
      <c r="AB97" s="48">
        <f>(AB94)+((AB95)*(AB96-AB94))</f>
        <v>8.2703104E-2</v>
      </c>
    </row>
    <row r="98" spans="1:28" ht="19" x14ac:dyDescent="0.25">
      <c r="A98" s="5" t="s">
        <v>83</v>
      </c>
      <c r="B98" s="1" t="s">
        <v>91</v>
      </c>
      <c r="C98" s="1" t="s">
        <v>91</v>
      </c>
      <c r="D98" s="1" t="s">
        <v>91</v>
      </c>
      <c r="E98" s="1" t="s">
        <v>91</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AA98" s="44" t="s">
        <v>136</v>
      </c>
      <c r="AB98" s="44"/>
    </row>
    <row r="99" spans="1:28" ht="20" x14ac:dyDescent="0.25">
      <c r="A99" s="5" t="s">
        <v>84</v>
      </c>
      <c r="B99" s="1" t="s">
        <v>91</v>
      </c>
      <c r="C99" s="1">
        <v>-12198000</v>
      </c>
      <c r="D99" s="1" t="s">
        <v>91</v>
      </c>
      <c r="E99" s="1" t="s">
        <v>91</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AA99" s="45" t="s">
        <v>137</v>
      </c>
      <c r="AB99" s="46">
        <f>AB86+AB87</f>
        <v>22450000000</v>
      </c>
    </row>
    <row r="100" spans="1:28" ht="20" x14ac:dyDescent="0.25">
      <c r="A100" s="6" t="s">
        <v>85</v>
      </c>
      <c r="B100" s="10" t="s">
        <v>91</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AA100" s="47" t="s">
        <v>138</v>
      </c>
      <c r="AB100" s="48">
        <f>AB99/AB103</f>
        <v>4.4282672969205496E-2</v>
      </c>
    </row>
    <row r="101" spans="1:28" ht="20" x14ac:dyDescent="0.25">
      <c r="A101" s="5" t="s">
        <v>86</v>
      </c>
      <c r="B101" s="1" t="s">
        <v>91</v>
      </c>
      <c r="C101" s="1" t="s">
        <v>91</v>
      </c>
      <c r="D101" s="1" t="s">
        <v>91</v>
      </c>
      <c r="E101" s="1" t="s">
        <v>91</v>
      </c>
      <c r="F101" s="1">
        <v>-5000000</v>
      </c>
      <c r="G101" s="1">
        <v>1000000</v>
      </c>
      <c r="H101" s="1">
        <v>5000000</v>
      </c>
      <c r="I101" s="1">
        <v>-9000000</v>
      </c>
      <c r="J101" s="1">
        <v>7000000</v>
      </c>
      <c r="K101" s="1" t="s">
        <v>91</v>
      </c>
      <c r="L101" s="1">
        <v>-1000000</v>
      </c>
      <c r="M101" s="1">
        <v>1000000</v>
      </c>
      <c r="N101" s="1">
        <v>-34000000</v>
      </c>
      <c r="O101" s="1">
        <v>236000000</v>
      </c>
      <c r="P101" s="1">
        <v>-101000000</v>
      </c>
      <c r="Q101" s="1">
        <v>-277000000</v>
      </c>
      <c r="R101" s="1">
        <v>440000000</v>
      </c>
      <c r="S101" s="1">
        <v>-37000000</v>
      </c>
      <c r="T101" s="1">
        <v>-1287000000</v>
      </c>
      <c r="AA101" s="45" t="s">
        <v>139</v>
      </c>
      <c r="AB101" s="51" cm="1">
        <f t="array" ref="AB101">_FV(A1,"Market cap",TRUE)</f>
        <v>484520300000</v>
      </c>
    </row>
    <row r="102" spans="1:28" ht="20" x14ac:dyDescent="0.25">
      <c r="A102" s="6" t="s">
        <v>87</v>
      </c>
      <c r="B102" s="10" t="s">
        <v>91</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AA102" s="47" t="s">
        <v>140</v>
      </c>
      <c r="AB102" s="48">
        <f>AB101/AB103</f>
        <v>0.95571732703079448</v>
      </c>
    </row>
    <row r="103" spans="1:28" ht="20" x14ac:dyDescent="0.25">
      <c r="A103" s="5" t="s">
        <v>88</v>
      </c>
      <c r="B103" s="1" t="s">
        <v>91</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AA103" s="47" t="s">
        <v>141</v>
      </c>
      <c r="AB103" s="52">
        <f>AB99+AB101</f>
        <v>506970300000</v>
      </c>
    </row>
    <row r="104" spans="1:28" ht="20" thickBot="1" x14ac:dyDescent="0.3">
      <c r="A104" s="7" t="s">
        <v>89</v>
      </c>
      <c r="B104" s="11" t="s">
        <v>91</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AA104" s="44" t="s">
        <v>142</v>
      </c>
      <c r="AB104" s="44"/>
    </row>
    <row r="105" spans="1:28" ht="21" thickTop="1" x14ac:dyDescent="0.25">
      <c r="A105" s="14" t="s">
        <v>162</v>
      </c>
      <c r="C105" s="1">
        <f t="shared" ref="C105:S105" si="26">((C22*(1-$AB$91))+C77+C88+C81)</f>
        <v>-343015212.94662547</v>
      </c>
      <c r="D105" s="1" t="e">
        <f t="shared" si="26"/>
        <v>#VALUE!</v>
      </c>
      <c r="E105" s="1">
        <f t="shared" si="26"/>
        <v>-1775635772.110719</v>
      </c>
      <c r="F105" s="1">
        <f t="shared" si="26"/>
        <v>-2499953242.170269</v>
      </c>
      <c r="G105" s="1">
        <f t="shared" si="26"/>
        <v>-424164424.34936047</v>
      </c>
      <c r="H105" s="1">
        <f t="shared" si="26"/>
        <v>1473609230.2602558</v>
      </c>
      <c r="I105" s="1">
        <f t="shared" si="26"/>
        <v>2400635641.81738</v>
      </c>
      <c r="J105" s="1">
        <f t="shared" si="26"/>
        <v>-378938299.51477718</v>
      </c>
      <c r="K105" s="1">
        <f t="shared" si="26"/>
        <v>6099415.5271282196</v>
      </c>
      <c r="L105" s="1">
        <f t="shared" si="26"/>
        <v>5530818096.6034412</v>
      </c>
      <c r="M105" s="1">
        <f t="shared" si="26"/>
        <v>4424201146.8901634</v>
      </c>
      <c r="N105" s="1">
        <f t="shared" si="26"/>
        <v>3477214766.2108517</v>
      </c>
      <c r="O105" s="1">
        <f t="shared" si="26"/>
        <v>5991318041.4644909</v>
      </c>
      <c r="P105" s="1">
        <f t="shared" si="26"/>
        <v>8639335796.20644</v>
      </c>
      <c r="Q105" s="1">
        <f t="shared" si="26"/>
        <v>5968523875.1654167</v>
      </c>
      <c r="R105" s="1">
        <f t="shared" si="26"/>
        <v>3245787659.902956</v>
      </c>
      <c r="S105" s="1">
        <f t="shared" si="26"/>
        <v>6430768636.9651527</v>
      </c>
      <c r="T105" s="1">
        <f>((T22*(1-$AB$91))+T77+T88+T81)</f>
        <v>7749330888.8398762</v>
      </c>
      <c r="U105" s="31">
        <f>T105*(1+$AB$106)</f>
        <v>8620833882.7144489</v>
      </c>
      <c r="V105" s="31">
        <f t="shared" ref="V105:Y105" si="27">U105*(1+$AB$106)</f>
        <v>9590347592.5111103</v>
      </c>
      <c r="W105" s="31">
        <f t="shared" si="27"/>
        <v>10668894470.823915</v>
      </c>
      <c r="X105" s="31">
        <f t="shared" si="27"/>
        <v>11868736574.100897</v>
      </c>
      <c r="Y105" s="31">
        <f t="shared" si="27"/>
        <v>13203514970.611732</v>
      </c>
      <c r="Z105" s="28" t="s">
        <v>165</v>
      </c>
      <c r="AA105" s="53" t="s">
        <v>106</v>
      </c>
      <c r="AB105" s="54">
        <f>(AB100*AB92)+(AB102*AB97)</f>
        <v>7.9915980293686323E-2</v>
      </c>
    </row>
    <row r="106" spans="1:28" ht="19" x14ac:dyDescent="0.25">
      <c r="A106" s="14" t="s">
        <v>163</v>
      </c>
      <c r="B106" s="1"/>
      <c r="C106" s="15" t="e">
        <f>(C107/B107)-1</f>
        <v>#VALUE!</v>
      </c>
      <c r="D106" s="15">
        <f>(D107/C107)-1</f>
        <v>0.2024175203812244</v>
      </c>
      <c r="E106" s="15">
        <f>(E107/D107)-1</f>
        <v>0.16257238071566005</v>
      </c>
      <c r="F106" s="15">
        <f>(F107/E107)-1</f>
        <v>-0.77036387427818043</v>
      </c>
      <c r="G106" s="15">
        <f>(G107/F107)-1</f>
        <v>1.1724137931034484</v>
      </c>
      <c r="H106" s="15">
        <f>(H107/G107)-1</f>
        <v>8.7222222222222214</v>
      </c>
      <c r="I106" s="15">
        <f>(I107/H107)-1</f>
        <v>0.4363265306122448</v>
      </c>
      <c r="J106" s="15">
        <f>(J107/I107)-1</f>
        <v>0.31656720659278204</v>
      </c>
      <c r="K106" s="15">
        <f>(K107/J107)-1</f>
        <v>-0.44938484783077914</v>
      </c>
      <c r="L106" s="15">
        <f>(L107/K107)-1</f>
        <v>1.6076048608388867</v>
      </c>
      <c r="M106" s="15">
        <f>(M107/L107)-1</f>
        <v>-7.2459410703547777E-2</v>
      </c>
      <c r="N106" s="15">
        <f>(N107/M107)-1</f>
        <v>-0.18136142625607776</v>
      </c>
      <c r="O106" s="15">
        <f>(O107/N107)-1</f>
        <v>0.68303306275984954</v>
      </c>
      <c r="P106" s="15">
        <f>(P107/O107)-1</f>
        <v>0.41101046935654639</v>
      </c>
      <c r="Q106" s="15">
        <f>(Q107/P107)-1</f>
        <v>2.7511463109628487E-3</v>
      </c>
      <c r="R106" s="15">
        <f>(R107/Q107)-1</f>
        <v>-0.19321582973062856</v>
      </c>
      <c r="S106" s="15">
        <f>(S107/R107)-1</f>
        <v>0.49649629018961261</v>
      </c>
      <c r="T106" s="15">
        <f>(T107/S107)-1</f>
        <v>0.23116650599091026</v>
      </c>
      <c r="U106" s="68">
        <v>18156000000</v>
      </c>
      <c r="V106" s="68">
        <v>20373000000</v>
      </c>
      <c r="W106" s="68">
        <v>22743000000</v>
      </c>
      <c r="X106" s="68">
        <v>23990000000</v>
      </c>
      <c r="Y106" s="68">
        <v>27360000000</v>
      </c>
      <c r="Z106" s="28" t="s">
        <v>166</v>
      </c>
      <c r="AA106" s="55" t="s">
        <v>143</v>
      </c>
      <c r="AB106" s="56">
        <f>(SUM(U4:Y4)/5)</f>
        <v>0.11246170880761577</v>
      </c>
    </row>
    <row r="107" spans="1:28" ht="19" x14ac:dyDescent="0.25">
      <c r="A107" s="41" t="s">
        <v>164</v>
      </c>
      <c r="B107" s="1" t="s">
        <v>91</v>
      </c>
      <c r="C107" s="1">
        <v>361362000</v>
      </c>
      <c r="D107" s="1">
        <v>434508000</v>
      </c>
      <c r="E107" s="1">
        <v>505147000</v>
      </c>
      <c r="F107" s="1">
        <v>116000000</v>
      </c>
      <c r="G107" s="1">
        <v>252000000</v>
      </c>
      <c r="H107" s="1">
        <v>2450000000</v>
      </c>
      <c r="I107" s="1">
        <v>3519000000</v>
      </c>
      <c r="J107" s="1">
        <v>4633000000</v>
      </c>
      <c r="K107" s="1">
        <v>2551000000</v>
      </c>
      <c r="L107" s="1">
        <v>6652000000</v>
      </c>
      <c r="M107" s="1">
        <v>6170000000</v>
      </c>
      <c r="N107" s="1">
        <v>5051000000</v>
      </c>
      <c r="O107" s="1">
        <v>8501000000</v>
      </c>
      <c r="P107" s="1">
        <v>11995000000</v>
      </c>
      <c r="Q107" s="1">
        <v>12028000000</v>
      </c>
      <c r="R107" s="1">
        <v>9704000000</v>
      </c>
      <c r="S107" s="1">
        <v>14522000000</v>
      </c>
      <c r="T107" s="1">
        <v>17879000000</v>
      </c>
      <c r="U107" s="28"/>
      <c r="V107" s="28"/>
      <c r="W107" s="28"/>
      <c r="X107" s="28"/>
      <c r="Y107" s="69">
        <f>Y106*(1+AB107)/(AB108-AB107)</f>
        <v>510671025993.21545</v>
      </c>
      <c r="Z107" s="29" t="s">
        <v>144</v>
      </c>
      <c r="AA107" s="57" t="s">
        <v>145</v>
      </c>
      <c r="AB107" s="58">
        <v>2.5000000000000001E-2</v>
      </c>
    </row>
    <row r="108" spans="1:28" ht="19" x14ac:dyDescent="0.25">
      <c r="U108" s="69">
        <f t="shared" ref="U108:X108" si="28">U107+U106</f>
        <v>18156000000</v>
      </c>
      <c r="V108" s="69">
        <f t="shared" si="28"/>
        <v>20373000000</v>
      </c>
      <c r="W108" s="69">
        <f t="shared" si="28"/>
        <v>22743000000</v>
      </c>
      <c r="X108" s="69">
        <f t="shared" si="28"/>
        <v>23990000000</v>
      </c>
      <c r="Y108" s="69">
        <f>Y107+Y106</f>
        <v>538031025993.21545</v>
      </c>
      <c r="Z108" s="29" t="s">
        <v>141</v>
      </c>
      <c r="AA108" s="59" t="s">
        <v>146</v>
      </c>
      <c r="AB108" s="56">
        <f>AB105</f>
        <v>7.9915980293686323E-2</v>
      </c>
    </row>
    <row r="109" spans="1:28" ht="19" x14ac:dyDescent="0.25">
      <c r="U109" s="60" t="s">
        <v>147</v>
      </c>
      <c r="V109" s="60"/>
    </row>
    <row r="110" spans="1:28" ht="20" x14ac:dyDescent="0.25">
      <c r="U110" s="61" t="s">
        <v>148</v>
      </c>
      <c r="V110" s="51">
        <f>NPV(AB108,U108,V108,W108,X108,Y108)</f>
        <v>436296239972.44263</v>
      </c>
    </row>
    <row r="111" spans="1:28" ht="20" x14ac:dyDescent="0.25">
      <c r="U111" s="61" t="s">
        <v>149</v>
      </c>
      <c r="V111" s="51">
        <f>T40</f>
        <v>18522000000</v>
      </c>
    </row>
    <row r="112" spans="1:28" ht="20" x14ac:dyDescent="0.25">
      <c r="U112" s="61" t="s">
        <v>137</v>
      </c>
      <c r="V112" s="51">
        <f>AB99</f>
        <v>22450000000</v>
      </c>
    </row>
    <row r="113" spans="21:22" ht="20" x14ac:dyDescent="0.25">
      <c r="U113" s="61" t="s">
        <v>150</v>
      </c>
      <c r="V113" s="51">
        <f>V110+V111-V112</f>
        <v>432368239972.44263</v>
      </c>
    </row>
    <row r="114" spans="21:22" ht="20" x14ac:dyDescent="0.25">
      <c r="U114" s="61" t="s">
        <v>151</v>
      </c>
      <c r="V114" s="61">
        <f>T34*(1+(5*Z16))</f>
        <v>1992517898.2511404</v>
      </c>
    </row>
    <row r="115" spans="21:22" ht="20" x14ac:dyDescent="0.25">
      <c r="U115" s="62" t="s">
        <v>152</v>
      </c>
      <c r="V115" s="63">
        <f>V113/V114</f>
        <v>216.99591273530743</v>
      </c>
    </row>
    <row r="116" spans="21:22" ht="20" x14ac:dyDescent="0.25">
      <c r="U116" s="61" t="s">
        <v>153</v>
      </c>
      <c r="V116" s="64" cm="1">
        <f t="array" ref="V116">_FV(A1,"Price")</f>
        <v>236.45</v>
      </c>
    </row>
    <row r="117" spans="21:22" ht="20" x14ac:dyDescent="0.25">
      <c r="U117" s="62" t="s">
        <v>154</v>
      </c>
      <c r="V117" s="65">
        <f>V115/V116-1</f>
        <v>-8.2275691540251938E-2</v>
      </c>
    </row>
    <row r="118" spans="21:22" ht="20" x14ac:dyDescent="0.25">
      <c r="U118" s="62" t="s">
        <v>155</v>
      </c>
      <c r="V118" s="66" t="str">
        <f>IF(V115&gt;V116,"BUY","SELL")</f>
        <v>SELL</v>
      </c>
    </row>
  </sheetData>
  <mergeCells count="6">
    <mergeCell ref="U109:V109"/>
    <mergeCell ref="AA83:AB83"/>
    <mergeCell ref="AA84:AB84"/>
    <mergeCell ref="AA93:AB93"/>
    <mergeCell ref="AA98:AB98"/>
    <mergeCell ref="AA104:AB10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 ref="Z106" r:id="rId41" xr:uid="{CB0E0F15-789B-A54F-A854-11458E4C93FE}"/>
  </hyperlinks>
  <pageMargins left="0.7" right="0.7" top="0.75" bottom="0.75" header="0.3" footer="0.3"/>
  <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2023-01-31T14:52:36Z</dcterms:created>
  <dcterms:modified xsi:type="dcterms:W3CDTF">2023-07-10T06:09:02Z</dcterms:modified>
</cp:coreProperties>
</file>