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03FDE705-5ACA-7F45-B162-6932E368480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09" i="1" l="1"/>
  <c r="AE109" i="1"/>
  <c r="AF109" i="1"/>
  <c r="AG109" i="1"/>
  <c r="AE106" i="1"/>
  <c r="AF106" i="1"/>
  <c r="AG106" i="1" s="1"/>
  <c r="AH106" i="1" s="1"/>
  <c r="AD106" i="1"/>
  <c r="AK94" i="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E31" i="1"/>
  <c r="AF31" i="1"/>
  <c r="AG31" i="1"/>
  <c r="AH31" i="1"/>
  <c r="AD31" i="1"/>
  <c r="AE22" i="1"/>
  <c r="AF22" i="1"/>
  <c r="AG22" i="1"/>
  <c r="AH22" i="1"/>
  <c r="AD22" i="1"/>
  <c r="AD30" i="1"/>
  <c r="AE30" i="1"/>
  <c r="AF30" i="1"/>
  <c r="AG30" i="1"/>
  <c r="AH30" i="1"/>
  <c r="AD21" i="1"/>
  <c r="AE21" i="1"/>
  <c r="AF21" i="1"/>
  <c r="AG21" i="1"/>
  <c r="AH21" i="1"/>
  <c r="AE117" i="1" a="1"/>
  <c r="AE117" i="1" s="1"/>
  <c r="AK101" i="1" a="1"/>
  <c r="AK101" i="1" s="1"/>
  <c r="AK95" i="1" a="1"/>
  <c r="AK95" i="1" s="1"/>
  <c r="AE115" i="1"/>
  <c r="AI20" i="1"/>
  <c r="AI17" i="1"/>
  <c r="AL14" i="1"/>
  <c r="AK14" i="1"/>
  <c r="AJ14" i="1"/>
  <c r="AI14" i="1"/>
  <c r="AL11" i="1"/>
  <c r="AK11" i="1"/>
  <c r="AJ11" i="1"/>
  <c r="AI11" i="1"/>
  <c r="AL8" i="1"/>
  <c r="AK8" i="1"/>
  <c r="AJ8" i="1"/>
  <c r="AI8" i="1"/>
  <c r="AL5" i="1"/>
  <c r="AK5" i="1"/>
  <c r="AJ5" i="1"/>
  <c r="AI5" i="1"/>
  <c r="AE113" i="1"/>
  <c r="AE112"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5" i="1"/>
  <c r="AK86" i="1"/>
  <c r="AK99" i="1" s="1"/>
  <c r="AK90" i="1"/>
  <c r="AK89" i="1"/>
  <c r="AK91" i="1" s="1"/>
  <c r="AK87" i="1"/>
  <c r="AF5" i="1"/>
  <c r="AE5" i="1"/>
  <c r="AD5" i="1"/>
  <c r="R107" i="1"/>
  <c r="S107" i="1"/>
  <c r="T107" i="1"/>
  <c r="U107" i="1"/>
  <c r="V107" i="1"/>
  <c r="W107" i="1"/>
  <c r="X107" i="1"/>
  <c r="Y107" i="1"/>
  <c r="Z107" i="1"/>
  <c r="AA107" i="1"/>
  <c r="AB107" i="1"/>
  <c r="AC107" i="1"/>
  <c r="Q107" i="1"/>
  <c r="P107" i="1"/>
  <c r="O107" i="1"/>
  <c r="N107" i="1"/>
  <c r="M107" i="1"/>
  <c r="L107" i="1"/>
  <c r="K107" i="1"/>
  <c r="J107" i="1"/>
  <c r="I107" i="1"/>
  <c r="H107" i="1"/>
  <c r="G107" i="1"/>
  <c r="F107" i="1"/>
  <c r="E107" i="1"/>
  <c r="D107" i="1"/>
  <c r="C107"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U5" i="1"/>
  <c r="V5" i="1"/>
  <c r="W5" i="1"/>
  <c r="X5" i="1"/>
  <c r="Y5" i="1"/>
  <c r="Z5" i="1"/>
  <c r="AA5" i="1"/>
  <c r="AB5" i="1"/>
  <c r="AC5" i="1"/>
  <c r="T5" i="1"/>
  <c r="S5" i="1"/>
  <c r="R5" i="1"/>
  <c r="Q5" i="1"/>
  <c r="P5" i="1"/>
  <c r="O5" i="1"/>
  <c r="N5" i="1"/>
  <c r="M5" i="1"/>
  <c r="L5" i="1"/>
  <c r="K5" i="1"/>
  <c r="J5" i="1"/>
  <c r="I5" i="1"/>
  <c r="H5" i="1"/>
  <c r="G5" i="1"/>
  <c r="F5" i="1"/>
  <c r="E5" i="1"/>
  <c r="D5" i="1"/>
  <c r="C5" i="1"/>
  <c r="AL23" i="1" l="1"/>
  <c r="AK23" i="1"/>
  <c r="AK97" i="1"/>
  <c r="AL20" i="1"/>
  <c r="AK107" i="1"/>
  <c r="AK20" i="1"/>
  <c r="AJ20" i="1"/>
  <c r="AL17" i="1"/>
  <c r="AJ17" i="1"/>
  <c r="AK17" i="1"/>
  <c r="AK88" i="1"/>
  <c r="AK92" i="1" s="1"/>
  <c r="AK103" i="1"/>
  <c r="AK102" i="1" s="1"/>
  <c r="AK100" i="1" l="1"/>
  <c r="AK105" i="1" s="1"/>
  <c r="AK109" i="1" s="1"/>
  <c r="AH108" i="1" l="1"/>
  <c r="AH109" i="1" s="1"/>
  <c r="AE111" i="1" s="1"/>
  <c r="AE114" i="1" s="1"/>
  <c r="AE116" i="1" s="1"/>
  <c r="AE119" i="1" s="1"/>
  <c r="AE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<sst xmlns="http://schemas.openxmlformats.org/spreadsheetml/2006/main" count="788" uniqueCount="168">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</sst>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0" fontId="11" fillId="3" borderId="5" xfId="0" applyFont="1" applyFill="1" applyBorder="1" applyAlignment="1">
      <alignment horizontal="center" vertical="center" wrapText="1"/>
    </xf>
    <xf numFmtId="9" fontId="10" fillId="0" borderId="6" xfId="0" applyNumberFormat="1" applyFont="1" applyBorder="1" applyAlignment="1">
      <alignment horizontal="center"/>
    </xf>
    <xf numFmtId="2" fontId="10" fillId="0" borderId="7" xfId="0" applyNumberFormat="1" applyFont="1" applyBorder="1" applyAlignment="1">
      <alignment horizontal="center"/>
    </xf>
    <xf numFmtId="0" fontId="12" fillId="0" borderId="4" xfId="0" applyFont="1" applyBorder="1"/>
    <xf numFmtId="164" fontId="9" fillId="0" borderId="0" xfId="0" applyNumberFormat="1" applyFont="1"/>
    <xf numFmtId="37" fontId="1" fillId="0" borderId="0" xfId="0" applyNumberFormat="1" applyFont="1"/>
    <xf numFmtId="10" fontId="1" fillId="0" borderId="0" xfId="0" applyNumberFormat="1" applyFont="1"/>
    <xf numFmtId="164" fontId="9" fillId="5" borderId="0" xfId="0" applyNumberFormat="1" applyFont="1" applyFill="1"/>
    <xf numFmtId="0" fontId="0" fillId="5" borderId="0" xfId="0" applyFill="1"/>
    <xf numFmtId="0" fontId="0" fillId="5" borderId="0" xfId="0" applyFill="1" applyAlignment="1">
      <alignment horizontal="left"/>
    </xf>
    <xf numFmtId="0" fontId="11" fillId="3" borderId="8" xfId="0" applyFont="1" applyFill="1" applyBorder="1" applyAlignment="1">
      <alignment horizontal="center" vertical="center" wrapText="1"/>
    </xf>
    <xf numFmtId="9" fontId="10" fillId="0" borderId="8" xfId="0" applyNumberFormat="1" applyFont="1" applyBorder="1" applyAlignment="1">
      <alignment horizontal="center"/>
    </xf>
    <xf numFmtId="0" fontId="11" fillId="7" borderId="5" xfId="0" applyFont="1" applyFill="1" applyBorder="1" applyAlignment="1">
      <alignment horizontal="center" vertical="center" wrapText="1"/>
    </xf>
    <xf numFmtId="0" fontId="11"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4" fontId="9" fillId="6" borderId="0" xfId="0" applyNumberFormat="1" applyFont="1" applyFill="1"/>
    <xf numFmtId="168" fontId="10" fillId="0" borderId="6" xfId="0" applyNumberFormat="1" applyFont="1" applyBorder="1" applyAlignment="1">
      <alignment horizontal="center"/>
    </xf>
    <xf numFmtId="168" fontId="10" fillId="0" borderId="9" xfId="0" applyNumberFormat="1" applyFont="1" applyBorder="1" applyAlignment="1">
      <alignment horizontal="center"/>
    </xf>
    <xf numFmtId="0" fontId="1" fillId="0" borderId="0" xfId="0" applyFont="1" applyAlignment="1">
      <alignment indent="1"/>
    </xf>
    <xf numFmtId="169" fontId="10" fillId="0" borderId="9" xfId="0" applyNumberFormat="1" applyFont="1" applyBorder="1" applyAlignment="1">
      <alignment horizontal="center"/>
    </xf>
    <xf numFmtId="169" fontId="10" fillId="0" borderId="7" xfId="0" applyNumberFormat="1" applyFont="1" applyBorder="1" applyAlignment="1">
      <alignment horizontal="center"/>
    </xf>
    <xf numFmtId="164" fontId="1" fillId="5" borderId="0" xfId="0" applyNumberFormat="1" applyFont="1" applyFill="1" applyAlignment="1">
      <alignment wrapText="1"/>
    </xf>
    <xf numFmtId="164" fontId="1" fillId="5" borderId="0" xfId="0" applyNumberFormat="1" applyFont="1" applyFill="1"/>
    <xf numFmtId="164" fontId="1" fillId="3" borderId="0" xfId="0" applyNumberFormat="1" applyFont="1" applyFill="1" applyAlignment="1">
      <alignment wrapText="1"/>
    </xf>
    <xf numFmtId="167" fontId="11" fillId="3" borderId="0" xfId="0" applyNumberFormat="1" applyFont="1" applyFill="1"/>
    <xf numFmtId="167" fontId="1" fillId="5" borderId="0" xfId="0" applyNumberFormat="1" applyFont="1" applyFill="1"/>
    <xf numFmtId="9" fontId="11" fillId="3" borderId="0" xfId="1" applyFont="1" applyFill="1" applyBorder="1"/>
    <xf numFmtId="0" fontId="11" fillId="3" borderId="0" xfId="0" applyFont="1" applyFill="1" applyAlignment="1">
      <alignment horizontal="right"/>
    </xf>
    <xf numFmtId="0" fontId="10" fillId="5" borderId="0" xfId="0" applyFont="1" applyFill="1" applyAlignment="1">
      <alignment horizontal="left" vertical="center" wrapText="1"/>
    </xf>
    <xf numFmtId="164" fontId="10" fillId="5" borderId="0" xfId="0" applyNumberFormat="1" applyFont="1" applyFill="1"/>
    <xf numFmtId="0" fontId="11" fillId="5" borderId="0" xfId="0" applyFont="1" applyFill="1" applyAlignment="1">
      <alignment horizontal="left" vertical="center" wrapText="1"/>
    </xf>
    <xf numFmtId="10" fontId="11" fillId="5" borderId="0" xfId="0" applyNumberFormat="1" applyFont="1" applyFill="1"/>
    <xf numFmtId="10" fontId="10" fillId="5" borderId="0" xfId="0" applyNumberFormat="1" applyFont="1" applyFill="1"/>
    <xf numFmtId="39" fontId="10" fillId="5" borderId="0" xfId="0" applyNumberFormat="1" applyFont="1" applyFill="1"/>
    <xf numFmtId="164" fontId="11" fillId="5" borderId="0" xfId="0" applyNumberFormat="1" applyFont="1" applyFill="1"/>
    <xf numFmtId="0" fontId="11" fillId="3" borderId="0" xfId="0" applyFont="1" applyFill="1" applyAlignment="1">
      <alignment horizontal="left" vertical="center" wrapText="1"/>
    </xf>
    <xf numFmtId="10" fontId="11"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0" fontId="11" fillId="4" borderId="0" xfId="0" applyFont="1" applyFill="1" applyAlignment="1">
      <alignment horizontal="center" vertical="center" wrapText="1"/>
    </xf>
    <xf numFmtId="9" fontId="1" fillId="3" borderId="0" xfId="0" applyNumberFormat="1" applyFont="1" applyFill="1" applyAlignment="1">
      <alignment horizontal="center"/>
    </xf>
    <xf numFmtId="0" fontId="1"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800"/>
              <a:t>ASML</a:t>
            </a:r>
          </a:p>
        </c:rich>
      </c:tx>
      <c:layout>
        <c:manualLayout>
          <c:xMode val="edge"/>
          <c:yMode val="edge"/>
          <c:x val="0.46612448318542121"/>
          <c:y val="2.546296296296296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949174413398995"/>
          <c:y val="0.13130212890055409"/>
          <c:w val="0.8169631053643378"/>
          <c:h val="0.69726213910761159"/>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1'!$B$4:$AC$4</c:f>
              <c:numCache>
                <c:formatCode>#,###,,;\(#,###,,\);\ \-\ \-</c:formatCode>
                <c:ptCount val="28"/>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numCache>
            </c:numRef>
          </c:val>
          <c:extLst>
            <c:ext xmlns:c16="http://schemas.microsoft.com/office/drawing/2014/chart" uri="{C3380CC4-5D6E-409C-BE32-E72D297353CC}">
              <c16:uniqueId val="{00000000-B594-8C42-A428-FC36B4B4D855}"/>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1'!$B$20:$AC$20</c:f>
              <c:numCache>
                <c:formatCode>#,###,,;\(#,###,,\);\ \-\ \-</c:formatCode>
                <c:ptCount val="28"/>
                <c:pt idx="0">
                  <c:v>107705571</c:v>
                </c:pt>
                <c:pt idx="1">
                  <c:v>165514820</c:v>
                </c:pt>
                <c:pt idx="2">
                  <c:v>234636129</c:v>
                </c:pt>
                <c:pt idx="3">
                  <c:v>123294636</c:v>
                </c:pt>
                <c:pt idx="4">
                  <c:v>160894601</c:v>
                </c:pt>
                <c:pt idx="5">
                  <c:v>557790668</c:v>
                </c:pt>
                <c:pt idx="6">
                  <c:v>-539359913</c:v>
                </c:pt>
                <c:pt idx="7">
                  <c:v>-84510333</c:v>
                </c:pt>
                <c:pt idx="8">
                  <c:v>-74959608</c:v>
                </c:pt>
                <c:pt idx="9">
                  <c:v>452720117</c:v>
                </c:pt>
                <c:pt idx="10">
                  <c:v>525154910</c:v>
                </c:pt>
                <c:pt idx="11">
                  <c:v>956889732</c:v>
                </c:pt>
                <c:pt idx="12">
                  <c:v>986734420</c:v>
                </c:pt>
                <c:pt idx="13">
                  <c:v>429851064</c:v>
                </c:pt>
                <c:pt idx="14">
                  <c:v>17954000</c:v>
                </c:pt>
                <c:pt idx="15">
                  <c:v>1417268000</c:v>
                </c:pt>
                <c:pt idx="16">
                  <c:v>1847557000</c:v>
                </c:pt>
                <c:pt idx="17">
                  <c:v>1359979000</c:v>
                </c:pt>
                <c:pt idx="18">
                  <c:v>1280262000</c:v>
                </c:pt>
                <c:pt idx="19">
                  <c:v>1540192000</c:v>
                </c:pt>
                <c:pt idx="20">
                  <c:v>1828989000</c:v>
                </c:pt>
                <c:pt idx="21">
                  <c:v>2081950000</c:v>
                </c:pt>
                <c:pt idx="22">
                  <c:v>2813100000</c:v>
                </c:pt>
                <c:pt idx="23">
                  <c:v>3401500000</c:v>
                </c:pt>
                <c:pt idx="24">
                  <c:v>3250900000</c:v>
                </c:pt>
                <c:pt idx="25">
                  <c:v>4639400000</c:v>
                </c:pt>
                <c:pt idx="26">
                  <c:v>7430200000</c:v>
                </c:pt>
                <c:pt idx="27">
                  <c:v>6995100000</c:v>
                </c:pt>
              </c:numCache>
            </c:numRef>
          </c:val>
          <c:extLst>
            <c:ext xmlns:c16="http://schemas.microsoft.com/office/drawing/2014/chart" uri="{C3380CC4-5D6E-409C-BE32-E72D297353CC}">
              <c16:uniqueId val="{00000001-B594-8C42-A428-FC36B4B4D855}"/>
            </c:ext>
          </c:extLst>
        </c:ser>
        <c:ser>
          <c:idx val="3"/>
          <c:order val="2"/>
          <c:tx>
            <c:strRef>
              <c:f>'Sheet 1'!$A$108</c:f>
              <c:strCache>
                <c:ptCount val="1"/>
                <c:pt idx="0">
                  <c:v>Levered FCF</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val>
            <c:numRef>
              <c:f>'Sheet 1'!$B$108:$AC$108</c:f>
              <c:numCache>
                <c:formatCode>#,###,,;\(#,###,,\);\ \-\ \-</c:formatCode>
                <c:ptCount val="28"/>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numCache>
            </c:numRef>
          </c:val>
          <c:extLst>
            <c:ext xmlns:c16="http://schemas.microsoft.com/office/drawing/2014/chart" uri="{C3380CC4-5D6E-409C-BE32-E72D297353CC}">
              <c16:uniqueId val="{00000003-B594-8C42-A428-FC36B4B4D855}"/>
            </c:ext>
          </c:extLst>
        </c:ser>
        <c:dLbls>
          <c:showLegendKey val="0"/>
          <c:showVal val="0"/>
          <c:showCatName val="0"/>
          <c:showSerName val="0"/>
          <c:showPercent val="0"/>
          <c:showBubbleSize val="0"/>
        </c:dLbls>
        <c:gapWidth val="100"/>
        <c:overlap val="-24"/>
        <c:axId val="1991912255"/>
        <c:axId val="1991913983"/>
      </c:barChart>
      <c:catAx>
        <c:axId val="199191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1913983"/>
        <c:crosses val="autoZero"/>
        <c:auto val="1"/>
        <c:lblAlgn val="ctr"/>
        <c:lblOffset val="100"/>
        <c:noMultiLvlLbl val="0"/>
      </c:catAx>
      <c:valAx>
        <c:axId val="199191398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991912255"/>
        <c:crosses val="autoZero"/>
        <c:crossBetween val="between"/>
      </c:valAx>
      <c:spPr>
        <a:noFill/>
        <a:ln>
          <a:noFill/>
        </a:ln>
        <a:effectLst/>
      </c:spPr>
    </c:plotArea>
    <c:legend>
      <c:legendPos val="b"/>
      <c:layout>
        <c:manualLayout>
          <c:xMode val="edge"/>
          <c:yMode val="edge"/>
          <c:x val="0.3114464812992126"/>
          <c:y val="0.90760608048993874"/>
          <c:w val="0.41773203740157483"/>
          <c:h val="5.304206765820938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17991</xdr:colOff>
      <xdr:row>109</xdr:row>
      <xdr:rowOff>25402</xdr:rowOff>
    </xdr:from>
    <xdr:to>
      <xdr:col>36</xdr:col>
      <xdr:colOff>1571624</xdr:colOff>
      <xdr:row>130</xdr:row>
      <xdr:rowOff>0</xdr:rowOff>
    </xdr:to>
    <xdr:graphicFrame macro="">
      <xdr:nvGraphicFramePr>
        <xdr:cNvPr id="2" name="Chart 1">
          <a:extLst>
            <a:ext uri="{FF2B5EF4-FFF2-40B4-BE49-F238E27FC236}">
              <a16:creationId xmlns:a16="http://schemas.microsoft.com/office/drawing/2014/main" id="{E8395E59-E6B7-F761-804D-28D4C1163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375.75</v>
    <v>1.5590999999999999</v>
    <v>0.6</v>
    <v>9.3780000000000003E-4</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644.5</v>
    <v>Semiconductors &amp; Semiconductor Equipment</v>
    <v>Stock</v>
    <v>45114.666666666664</v>
    <v>0</v>
    <v>628.4</v>
    <v>258169700000</v>
    <v>ASML Holding NV</v>
    <v>ASML Holding NV</v>
    <v>636.5</v>
    <v>39.767499999999998</v>
    <v>639.79999999999995</v>
    <v>640.4</v>
    <v>403138200</v>
    <v>ASML</v>
    <v>ASML Holding NV (XAMS:ASML)</v>
    <v>558228</v>
    <v>534010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hyperlink" Target="https://finbox.com/ENXTAM:ASML/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AA85" activePane="bottomRight" state="frozen"/>
      <selection pane="topRight"/>
      <selection pane="bottomLeft"/>
      <selection pane="bottomRight" activeCell="AE101" sqref="AE101"/>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19" x14ac:dyDescent="0.25">
      <c r="A3" s="5" t="s">
        <v>139</v>
      </c>
      <c r="B3" s="1"/>
      <c r="C3" s="1"/>
      <c r="D3" s="1"/>
      <c r="E3" s="1"/>
      <c r="F3" s="1"/>
      <c r="G3" s="1"/>
      <c r="H3" s="1"/>
      <c r="I3" s="1"/>
      <c r="J3" s="1"/>
      <c r="K3" s="1"/>
      <c r="L3" s="1"/>
      <c r="M3" s="1"/>
      <c r="N3" s="1"/>
      <c r="O3" s="1"/>
      <c r="P3" s="1"/>
      <c r="Q3" s="23"/>
      <c r="R3" s="23"/>
      <c r="S3" s="23"/>
      <c r="T3" s="23"/>
      <c r="U3" s="23"/>
      <c r="V3" s="23">
        <v>214</v>
      </c>
      <c r="W3" s="23">
        <v>212</v>
      </c>
      <c r="X3" s="23">
        <v>292</v>
      </c>
      <c r="Y3" s="23">
        <v>338</v>
      </c>
      <c r="Z3" s="23">
        <v>344</v>
      </c>
      <c r="AA3" s="23">
        <v>395</v>
      </c>
      <c r="AB3" s="23">
        <v>505</v>
      </c>
      <c r="AC3" s="23">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26567000000</v>
      </c>
      <c r="AE4" s="22">
        <v>29757000000</v>
      </c>
      <c r="AF4" s="22">
        <v>34695000000</v>
      </c>
      <c r="AG4" s="22">
        <v>40089000000</v>
      </c>
      <c r="AH4" s="22">
        <v>43191000000</v>
      </c>
      <c r="AI4" s="28" t="s">
        <v>106</v>
      </c>
      <c r="AJ4" s="28" t="s">
        <v>107</v>
      </c>
      <c r="AK4" s="28" t="s">
        <v>108</v>
      </c>
      <c r="AL4" s="18" t="s">
        <v>109</v>
      </c>
    </row>
    <row r="5" spans="1:38" ht="19" x14ac:dyDescent="0.25">
      <c r="A5" s="14" t="s">
        <v>93</v>
      </c>
      <c r="B5" s="1"/>
      <c r="C5" s="15">
        <f>(C4/B4)-1</f>
        <v>0.38771242423472319</v>
      </c>
      <c r="D5" s="15">
        <f>(D4/C4)-1</f>
        <v>0.30523124497240262</v>
      </c>
      <c r="E5" s="15">
        <f>(E4/D4)-1</f>
        <v>-4.1823205772379302E-2</v>
      </c>
      <c r="F5" s="15">
        <f t="shared" ref="F5:T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si="0"/>
        <v>2.5771980300503206E-2</v>
      </c>
      <c r="M5" s="15">
        <f t="shared" si="0"/>
        <v>0.42344074659592534</v>
      </c>
      <c r="N5" s="15">
        <f t="shared" si="0"/>
        <v>6.0487567254747576E-2</v>
      </c>
      <c r="O5" s="15">
        <f t="shared" si="0"/>
        <v>-0.22387152126620291</v>
      </c>
      <c r="P5" s="15">
        <f t="shared" si="0"/>
        <v>-0.46091388963959501</v>
      </c>
      <c r="Q5" s="15">
        <f t="shared" si="0"/>
        <v>1.8244110664804585</v>
      </c>
      <c r="R5" s="16">
        <f t="shared" si="0"/>
        <v>0.25357425057753669</v>
      </c>
      <c r="S5" s="16">
        <f t="shared" si="0"/>
        <v>-0.16271001683762354</v>
      </c>
      <c r="T5" s="16">
        <f t="shared" si="0"/>
        <v>0.10858396446834084</v>
      </c>
      <c r="U5" s="16">
        <f t="shared" ref="U5" si="1">(U4/T4)-1</f>
        <v>0.11647531535694822</v>
      </c>
      <c r="V5" s="16">
        <f t="shared" ref="V5" si="2">(V4/U4)-1</f>
        <v>7.361297971390357E-2</v>
      </c>
      <c r="W5" s="16">
        <f t="shared" ref="W5" si="3">(W4/V4)-1</f>
        <v>8.06977474701287E-2</v>
      </c>
      <c r="X5" s="16">
        <f t="shared" ref="X5" si="4">(X4/W4)-1</f>
        <v>0.3323223570190641</v>
      </c>
      <c r="Y5" s="16">
        <f t="shared" ref="Y5" si="5">(Y4/X4)-1</f>
        <v>0.20890774125132561</v>
      </c>
      <c r="Z5" s="16">
        <f t="shared" ref="Z5" si="6">(Z4/Y4)-1</f>
        <v>8.0043859649122862E-2</v>
      </c>
      <c r="AA5" s="16">
        <f t="shared" ref="AA5" si="7">(AA4/Z4)-1</f>
        <v>0.18261421319796955</v>
      </c>
      <c r="AB5" s="16">
        <f t="shared" ref="AB5" si="8">(AB4/AA4)-1</f>
        <v>0.33140179561469396</v>
      </c>
      <c r="AC5" s="16">
        <f t="shared" ref="AC5:AH5" si="9">(AC4/AB4)-1</f>
        <v>0.137682016012036</v>
      </c>
      <c r="AD5" s="16">
        <f t="shared" si="9"/>
        <v>0.25473471431135297</v>
      </c>
      <c r="AE5" s="16">
        <f t="shared" si="9"/>
        <v>0.12007377573681643</v>
      </c>
      <c r="AF5" s="16">
        <f t="shared" si="9"/>
        <v>0.16594414759552367</v>
      </c>
      <c r="AG5" s="16">
        <f t="shared" si="9"/>
        <v>0.1554690877648075</v>
      </c>
      <c r="AH5" s="16">
        <f t="shared" si="9"/>
        <v>7.7377834318641092E-2</v>
      </c>
      <c r="AI5" s="29">
        <f>(AC5+AB5+AA5)/3</f>
        <v>0.21723267494156651</v>
      </c>
      <c r="AJ5" s="29">
        <f>(AC21+AB21+AA21)/3</f>
        <v>0.32336582629238492</v>
      </c>
      <c r="AK5" s="29">
        <f>(AC30+AB30+AA30)/3</f>
        <v>0.32286462810370614</v>
      </c>
      <c r="AL5" s="17">
        <f>(AC107+AB107+AA107)/3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28" t="s">
        <v>110</v>
      </c>
      <c r="AJ7" s="28" t="s">
        <v>111</v>
      </c>
      <c r="AK7" s="28" t="s">
        <v>112</v>
      </c>
      <c r="AL7" s="18" t="s">
        <v>113</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29">
        <f>AC8</f>
        <v>0.50539999999999996</v>
      </c>
      <c r="AJ8" s="29">
        <f>AC22</f>
        <v>0.33040000000000003</v>
      </c>
      <c r="AK8" s="29">
        <f>AC31</f>
        <v>0.2591</v>
      </c>
      <c r="AL8" s="17">
        <f>AC108/AC4</f>
        <v>0.33851436236032001</v>
      </c>
    </row>
    <row r="9" spans="1:38" ht="19" x14ac:dyDescent="0.25">
      <c r="A9" s="5" t="s">
        <v>5</v>
      </c>
      <c r="B9" s="1" t="s">
        <v>91</v>
      </c>
      <c r="C9" s="1" t="s">
        <v>91</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94</v>
      </c>
      <c r="B10" s="15" t="e">
        <f>B9/B4</f>
        <v>#VALUE!</v>
      </c>
      <c r="C10" s="15" t="e">
        <f t="shared" ref="C10:Q10" si="10">C9/C4</f>
        <v>#VALUE!</v>
      </c>
      <c r="D10" s="15">
        <f t="shared" si="10"/>
        <v>9.7267513774879119E-2</v>
      </c>
      <c r="E10" s="15">
        <f t="shared" si="10"/>
        <v>0.14716565767749037</v>
      </c>
      <c r="F10" s="15">
        <f t="shared" si="10"/>
        <v>0.14522821576763487</v>
      </c>
      <c r="G10" s="15">
        <f t="shared" si="10"/>
        <v>9.9361978120332858E-2</v>
      </c>
      <c r="H10" s="15">
        <f t="shared" si="10"/>
        <v>0.22133624215846345</v>
      </c>
      <c r="I10" s="15">
        <f t="shared" si="10"/>
        <v>0.15234988122058779</v>
      </c>
      <c r="J10" s="15">
        <f t="shared" si="10"/>
        <v>0.18585130723506788</v>
      </c>
      <c r="K10" s="15">
        <f t="shared" si="10"/>
        <v>0.13424272385808617</v>
      </c>
      <c r="L10" s="15">
        <f t="shared" si="10"/>
        <v>0.1280657876430473</v>
      </c>
      <c r="M10" s="15">
        <f t="shared" si="10"/>
        <v>0.10746614299273313</v>
      </c>
      <c r="N10" s="15">
        <f t="shared" si="10"/>
        <v>0.12764037046042478</v>
      </c>
      <c r="O10" s="15">
        <f t="shared" si="10"/>
        <v>0.18225541670117293</v>
      </c>
      <c r="P10" s="15">
        <f t="shared" si="10"/>
        <v>0.29244522302691062</v>
      </c>
      <c r="Q10" s="15">
        <f t="shared" si="10"/>
        <v>0.11611206720234396</v>
      </c>
      <c r="R10" s="15">
        <f t="shared" ref="R10" si="11">R9/R4</f>
        <v>0.10445343198192897</v>
      </c>
      <c r="S10" s="15">
        <f t="shared" ref="S10" si="12">S9/S4</f>
        <v>0.12452185380915999</v>
      </c>
      <c r="T10" s="15">
        <f t="shared" ref="T10" si="13">T9/T4</f>
        <v>0.16815523000858287</v>
      </c>
      <c r="U10" s="15">
        <f t="shared" ref="U10" si="14">U9/U4</f>
        <v>0.18339894099954629</v>
      </c>
      <c r="V10" s="15">
        <f t="shared" ref="V10" si="15">V9/V4</f>
        <v>0.16987645877651644</v>
      </c>
      <c r="W10" s="15">
        <f t="shared" ref="W10" si="16">W9/W4</f>
        <v>0.16273780117361164</v>
      </c>
      <c r="X10" s="15">
        <f t="shared" ref="X10" si="17">X9/X4</f>
        <v>0.13915031813361611</v>
      </c>
      <c r="Y10" s="15">
        <f t="shared" ref="Y10" si="18">Y9/Y4</f>
        <v>0.1439967105263158</v>
      </c>
      <c r="Z10" s="15">
        <f t="shared" ref="Z10" si="19">Z9/Z4</f>
        <v>0.16653976311336718</v>
      </c>
      <c r="AA10" s="15">
        <f t="shared" ref="AA10" si="20">AA9/AA4</f>
        <v>0.15744178559931324</v>
      </c>
      <c r="AB10" s="15">
        <f t="shared" ref="AB10" si="21">AB9/AB4</f>
        <v>0.13685454838536348</v>
      </c>
      <c r="AC10" s="15">
        <f t="shared" ref="AC10" si="22">AC9/AC4</f>
        <v>0.15365978066819688</v>
      </c>
      <c r="AI10" s="28" t="s">
        <v>95</v>
      </c>
      <c r="AJ10" s="18" t="s">
        <v>96</v>
      </c>
      <c r="AK10" s="18" t="s">
        <v>97</v>
      </c>
      <c r="AL10" s="18" t="s">
        <v>98</v>
      </c>
    </row>
    <row r="11" spans="1:38" ht="20" customHeight="1" x14ac:dyDescent="0.25">
      <c r="A11" s="5" t="s">
        <v>6</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I11" s="29">
        <f>(AC10+AB10+AA10)/3</f>
        <v>0.14931870488429119</v>
      </c>
      <c r="AJ11" s="29">
        <f>(AC14+AB14+AA14)/3</f>
        <v>4.0880988625067081E-2</v>
      </c>
      <c r="AK11" s="29">
        <f>(AC81+AB81+AA81)/3</f>
        <v>4.4744916917326275E-3</v>
      </c>
      <c r="AL11" s="17">
        <f>(AC90+AB90+AA90)/3</f>
        <v>5.9251435281668596E-2</v>
      </c>
    </row>
    <row r="12" spans="1:38" ht="19" x14ac:dyDescent="0.25">
      <c r="A12" s="5" t="s">
        <v>7</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t="s">
        <v>91</v>
      </c>
      <c r="AA12" s="1" t="s">
        <v>91</v>
      </c>
      <c r="AB12" s="1" t="s">
        <v>91</v>
      </c>
      <c r="AC12" s="1" t="s">
        <v>91</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28" t="s">
        <v>114</v>
      </c>
      <c r="AJ13" s="28" t="s">
        <v>115</v>
      </c>
      <c r="AK13" s="28" t="s">
        <v>116</v>
      </c>
      <c r="AL13" s="18" t="s">
        <v>117</v>
      </c>
    </row>
    <row r="14" spans="1:38" ht="19" x14ac:dyDescent="0.25">
      <c r="A14" s="14" t="s">
        <v>99</v>
      </c>
      <c r="B14" s="15">
        <f>B13/B4</f>
        <v>0.1397868250917351</v>
      </c>
      <c r="C14" s="15">
        <f t="shared" ref="C14:Q14" si="23">C13/C4</f>
        <v>0.15540277597613181</v>
      </c>
      <c r="D14" s="15">
        <f t="shared" si="23"/>
        <v>7.0392443494883619E-2</v>
      </c>
      <c r="E14" s="15">
        <f t="shared" si="23"/>
        <v>0.12085855806274078</v>
      </c>
      <c r="F14" s="15">
        <f t="shared" si="23"/>
        <v>0.11709543568464731</v>
      </c>
      <c r="G14" s="15">
        <f t="shared" si="23"/>
        <v>8.587571276599211E-2</v>
      </c>
      <c r="H14" s="15">
        <f t="shared" si="23"/>
        <v>0.1518104435794162</v>
      </c>
      <c r="I14" s="15">
        <f t="shared" si="23"/>
        <v>0.13439884375416106</v>
      </c>
      <c r="J14" s="15">
        <f t="shared" si="23"/>
        <v>0.13781284027188695</v>
      </c>
      <c r="K14" s="15">
        <f t="shared" si="23"/>
        <v>8.1784345284460269E-2</v>
      </c>
      <c r="L14" s="15">
        <f t="shared" si="23"/>
        <v>7.9559790970681679E-2</v>
      </c>
      <c r="M14" s="15">
        <f t="shared" si="23"/>
        <v>5.6934468969767608E-2</v>
      </c>
      <c r="N14" s="15">
        <f t="shared" si="23"/>
        <v>5.9250992467164296E-2</v>
      </c>
      <c r="O14" s="15">
        <f t="shared" si="23"/>
        <v>7.1890462774718139E-2</v>
      </c>
      <c r="P14" s="15">
        <f t="shared" si="23"/>
        <v>9.8143995569097212E-2</v>
      </c>
      <c r="Q14" s="15">
        <f t="shared" si="23"/>
        <v>4.0161377552220108E-2</v>
      </c>
      <c r="R14" s="15">
        <f t="shared" ref="R14" si="24">R13/R4</f>
        <v>3.8560015997069562E-2</v>
      </c>
      <c r="S14" s="15">
        <f t="shared" ref="S14" si="25">S13/S4</f>
        <v>5.4802490935855125E-2</v>
      </c>
      <c r="T14" s="15">
        <f t="shared" ref="T14" si="26">T13/T4</f>
        <v>5.9432149689075571E-2</v>
      </c>
      <c r="U14" s="15">
        <f t="shared" ref="U14" si="27">U13/U4</f>
        <v>5.483176427617751E-2</v>
      </c>
      <c r="V14" s="15">
        <f t="shared" ref="V14" si="28">V13/V4</f>
        <v>5.4988290025646633E-2</v>
      </c>
      <c r="W14" s="15">
        <f t="shared" ref="W14" si="29">W13/W4</f>
        <v>5.5154330871825787E-2</v>
      </c>
      <c r="X14" s="15">
        <f t="shared" ref="X14" si="30">X13/X4</f>
        <v>4.6018911276069281E-2</v>
      </c>
      <c r="Y14" s="15">
        <f t="shared" ref="Y14" si="31">Y13/Y4</f>
        <v>4.4590643274853799E-2</v>
      </c>
      <c r="Z14" s="15">
        <f t="shared" ref="Z14" si="32">Z13/Z4</f>
        <v>4.4035532994923861E-2</v>
      </c>
      <c r="AA14" s="15">
        <f t="shared" ref="AA14" si="33">AA13/AA4</f>
        <v>3.8981292699502811E-2</v>
      </c>
      <c r="AB14" s="15">
        <f t="shared" ref="AB14" si="34">AB13/AB4</f>
        <v>3.898769544892805E-2</v>
      </c>
      <c r="AC14" s="15">
        <f t="shared" ref="AC14" si="35">AC13/AC4</f>
        <v>4.4673977726770384E-2</v>
      </c>
      <c r="AI14" s="29">
        <f>AC29/AC73</f>
        <v>0.62266763517501245</v>
      </c>
      <c r="AJ14" s="17">
        <f>AC29/AC55</f>
        <v>0.15113332084494938</v>
      </c>
      <c r="AK14" s="29">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91</v>
      </c>
      <c r="I15" s="1" t="s">
        <v>91</v>
      </c>
      <c r="J15" s="1" t="s">
        <v>91</v>
      </c>
      <c r="K15" s="1" t="s">
        <v>91</v>
      </c>
      <c r="L15" s="1" t="s">
        <v>91</v>
      </c>
      <c r="M15" s="1">
        <v>-758</v>
      </c>
      <c r="N15" s="1">
        <v>23184464</v>
      </c>
      <c r="O15" s="1">
        <v>-22249145</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28" t="s">
        <v>138</v>
      </c>
      <c r="AJ16" s="18" t="s">
        <v>154</v>
      </c>
      <c r="AK16" s="18" t="s">
        <v>155</v>
      </c>
      <c r="AL16" s="30" t="s">
        <v>156</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38">
        <f>AK101/AC4</f>
        <v>12.193114946111631</v>
      </c>
      <c r="AK17" s="38">
        <f>AK101/AC26</f>
        <v>39.988491504158858</v>
      </c>
      <c r="AL17" s="39">
        <f>AK101/AC108</f>
        <v>36.019490756888736</v>
      </c>
    </row>
    <row r="18" spans="1:38" ht="19" x14ac:dyDescent="0.25">
      <c r="A18" s="5" t="s">
        <v>12</v>
      </c>
      <c r="B18" s="1" t="s">
        <v>91</v>
      </c>
      <c r="C18" s="1" t="s">
        <v>91</v>
      </c>
      <c r="D18" s="1" t="s">
        <v>91</v>
      </c>
      <c r="E18" s="1" t="s">
        <v>91</v>
      </c>
      <c r="F18" s="1" t="s">
        <v>91</v>
      </c>
      <c r="G18" s="1" t="s">
        <v>91</v>
      </c>
      <c r="H18" s="1" t="s">
        <v>91</v>
      </c>
      <c r="I18" s="1" t="s">
        <v>91</v>
      </c>
      <c r="J18" s="1" t="s">
        <v>91</v>
      </c>
      <c r="K18" s="1" t="s">
        <v>91</v>
      </c>
      <c r="L18" s="1" t="s">
        <v>91</v>
      </c>
      <c r="M18" s="1" t="s">
        <v>91</v>
      </c>
      <c r="N18" s="1" t="s">
        <v>91</v>
      </c>
      <c r="O18" s="1" t="s">
        <v>91</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31" t="s">
        <v>157</v>
      </c>
      <c r="AJ19" s="18" t="s">
        <v>158</v>
      </c>
      <c r="AK19" s="18" t="s">
        <v>159</v>
      </c>
      <c r="AL19" s="30"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33">
        <v>9265000000</v>
      </c>
      <c r="AE20" s="33">
        <v>11305000000</v>
      </c>
      <c r="AF20" s="33">
        <v>14025000000</v>
      </c>
      <c r="AG20" s="33">
        <v>15858000000</v>
      </c>
      <c r="AH20" s="33">
        <v>18812000000</v>
      </c>
      <c r="AI20" s="32">
        <f>AC41-AC57-AC62</f>
        <v>3861800000</v>
      </c>
      <c r="AJ20" s="38">
        <f>AK101/AD4</f>
        <v>9.7176835924266953</v>
      </c>
      <c r="AK20" s="38">
        <f>AK101/AD29</f>
        <v>34.864240378122886</v>
      </c>
      <c r="AL20" s="39">
        <f>AK101/AD106</f>
        <v>30.765749123818061</v>
      </c>
    </row>
    <row r="21" spans="1:38" ht="20" customHeight="1" x14ac:dyDescent="0.25">
      <c r="A21" s="14" t="s">
        <v>100</v>
      </c>
      <c r="B21" s="1"/>
      <c r="C21" s="15">
        <f>(C20/B20)-1</f>
        <v>0.53673406550158864</v>
      </c>
      <c r="D21" s="15">
        <f>(D20/C20)-1</f>
        <v>0.41761401788673669</v>
      </c>
      <c r="E21" s="15">
        <f>(E20/D20)-1</f>
        <v>-0.47452834085922035</v>
      </c>
      <c r="F21" s="15">
        <f t="shared" ref="F21:Q21" si="36">(F20/E20)-1</f>
        <v>0.30496026607353777</v>
      </c>
      <c r="G21" s="15">
        <f t="shared" si="36"/>
        <v>2.4668078638636235</v>
      </c>
      <c r="H21" s="15">
        <f t="shared" si="36"/>
        <v>-1.9669575773540908</v>
      </c>
      <c r="I21" s="15">
        <f t="shared" si="36"/>
        <v>-0.84331365575550288</v>
      </c>
      <c r="J21" s="15">
        <f t="shared" si="36"/>
        <v>-0.11301251173628668</v>
      </c>
      <c r="K21" s="15">
        <f t="shared" si="36"/>
        <v>-7.0395208710269666</v>
      </c>
      <c r="L21" s="15">
        <f t="shared" si="36"/>
        <v>0.15999905963975536</v>
      </c>
      <c r="M21" s="15">
        <f t="shared" si="36"/>
        <v>0.82210946480534663</v>
      </c>
      <c r="N21" s="15">
        <f t="shared" si="36"/>
        <v>3.1189265598682292E-2</v>
      </c>
      <c r="O21" s="15">
        <f t="shared" si="36"/>
        <v>-0.56437005207541047</v>
      </c>
      <c r="P21" s="15">
        <f t="shared" si="36"/>
        <v>-0.95823204476236912</v>
      </c>
      <c r="Q21" s="15">
        <f t="shared" si="36"/>
        <v>77.93884371170769</v>
      </c>
      <c r="R21" s="15">
        <f t="shared" ref="R21" si="37">(R20/Q20)-1</f>
        <v>0.30360454056678066</v>
      </c>
      <c r="S21" s="15">
        <f t="shared" ref="S21" si="38">(S20/R20)-1</f>
        <v>-0.26390417183339943</v>
      </c>
      <c r="T21" s="15">
        <f t="shared" ref="T21" si="39">(T20/S20)-1</f>
        <v>-5.8616346281817555E-2</v>
      </c>
      <c r="U21" s="15">
        <f t="shared" ref="U21" si="40">(U20/T20)-1</f>
        <v>0.20302875505170026</v>
      </c>
      <c r="V21" s="15">
        <f t="shared" ref="V21" si="41">(V20/U20)-1</f>
        <v>0.18750714196671581</v>
      </c>
      <c r="W21" s="15">
        <f t="shared" ref="W21" si="42">(W20/V20)-1</f>
        <v>0.13830646329748286</v>
      </c>
      <c r="X21" s="15">
        <f t="shared" ref="X21" si="43">(X20/W20)-1</f>
        <v>0.35118518696414425</v>
      </c>
      <c r="Y21" s="15">
        <f t="shared" ref="Y21" si="44">(Y20/X20)-1</f>
        <v>0.20916426717855741</v>
      </c>
      <c r="Z21" s="15">
        <f t="shared" ref="Z21" si="45">(Z20/Y20)-1</f>
        <v>-4.4274584742025613E-2</v>
      </c>
      <c r="AA21" s="15">
        <f t="shared" ref="AA21" si="46">(AA20/Z20)-1</f>
        <v>0.42711249192531309</v>
      </c>
      <c r="AB21" s="15">
        <f t="shared" ref="AB21" si="47">(AB20/AA20)-1</f>
        <v>0.6015433030133206</v>
      </c>
      <c r="AC21" s="15">
        <f t="shared" ref="AC21" si="48">(AC20/AB20)-1</f>
        <v>-5.8558316061478877E-2</v>
      </c>
      <c r="AD21" s="16">
        <f t="shared" ref="AD21" si="49">(AD20/AC20)-1</f>
        <v>0.32449857757573164</v>
      </c>
      <c r="AE21" s="16">
        <f t="shared" ref="AE21" si="50">(AE20/AD20)-1</f>
        <v>0.22018348623853212</v>
      </c>
      <c r="AF21" s="16">
        <f t="shared" ref="AF21" si="51">(AF20/AE20)-1</f>
        <v>0.24060150375939848</v>
      </c>
      <c r="AG21" s="16">
        <f t="shared" ref="AG21" si="52">(AG20/AF20)-1</f>
        <v>0.13069518716577533</v>
      </c>
      <c r="AH21" s="16">
        <f t="shared" ref="AH21" si="53">(AH20/AG20)-1</f>
        <v>0.18627821919535892</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34">
        <f>AD20/AD4</f>
        <v>0.34874091918545563</v>
      </c>
      <c r="AE22" s="34">
        <f t="shared" ref="AE22:AH22" si="54">AE20/AE4</f>
        <v>0.37991060926840742</v>
      </c>
      <c r="AF22" s="34">
        <f t="shared" si="54"/>
        <v>0.40423692174664938</v>
      </c>
      <c r="AG22" s="34">
        <f t="shared" si="54"/>
        <v>0.39556985706802367</v>
      </c>
      <c r="AH22" s="34">
        <f t="shared" si="54"/>
        <v>0.43555370331782084</v>
      </c>
      <c r="AK22" s="31" t="s">
        <v>166</v>
      </c>
      <c r="AL22" s="30" t="s">
        <v>167</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c r="AK23" s="41">
        <f>AC99*-1/AK101</f>
        <v>9.9151836950656866E-3</v>
      </c>
      <c r="AL23" s="42">
        <f>AC108/AK101</f>
        <v>2.7762746751458438E-2</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35">
        <v>7405000000</v>
      </c>
      <c r="AE29" s="35">
        <v>8861000000</v>
      </c>
      <c r="AF29" s="35">
        <v>11223000000</v>
      </c>
      <c r="AG29" s="35">
        <v>12889000000</v>
      </c>
      <c r="AH29" s="35">
        <v>15237000000</v>
      </c>
    </row>
    <row r="30" spans="1:38" ht="20" customHeight="1" thickTop="1" x14ac:dyDescent="0.25">
      <c r="A30" s="14" t="s">
        <v>102</v>
      </c>
      <c r="B30" s="1"/>
      <c r="C30" s="15">
        <f>(C29/B29)-1</f>
        <v>0.58425983173167895</v>
      </c>
      <c r="D30" s="15">
        <f>(D29/C29)-1</f>
        <v>0.45626579248591703</v>
      </c>
      <c r="E30" s="15">
        <f>(E29/D29)-1</f>
        <v>-0.58218042136711268</v>
      </c>
      <c r="F30" s="15">
        <f t="shared" ref="F30:Q30" si="55">(F29/E29)-1</f>
        <v>0.31060246611215114</v>
      </c>
      <c r="G30" s="15">
        <f t="shared" si="55"/>
        <v>3.2755052170411219</v>
      </c>
      <c r="H30" s="15">
        <f t="shared" si="55"/>
        <v>-2.3890296985218447</v>
      </c>
      <c r="I30" s="15">
        <f t="shared" si="55"/>
        <v>-0.56716728473638112</v>
      </c>
      <c r="J30" s="15">
        <f t="shared" si="55"/>
        <v>-0.22990569968406516</v>
      </c>
      <c r="K30" s="15">
        <f t="shared" si="55"/>
        <v>-2.4711194395727776</v>
      </c>
      <c r="L30" s="15">
        <f t="shared" si="55"/>
        <v>0.32276413044521868</v>
      </c>
      <c r="M30" s="15">
        <f t="shared" si="55"/>
        <v>1.0071753151253837</v>
      </c>
      <c r="N30" s="15">
        <f t="shared" si="55"/>
        <v>0.10283204718324379</v>
      </c>
      <c r="O30" s="15">
        <f t="shared" si="55"/>
        <v>-0.53095972415640369</v>
      </c>
      <c r="P30" s="15">
        <f t="shared" si="55"/>
        <v>-1.467065609347519</v>
      </c>
      <c r="Q30" s="15">
        <f t="shared" si="55"/>
        <v>-7.7703826403842973</v>
      </c>
      <c r="R30" s="15">
        <f t="shared" ref="R30" si="56">(R29/Q29)-1</f>
        <v>0.43563445616644803</v>
      </c>
      <c r="S30" s="15">
        <f t="shared" ref="S30" si="57">(S29/R29)-1</f>
        <v>-0.21857719365217865</v>
      </c>
      <c r="T30" s="15">
        <f t="shared" ref="T30" si="58">(T29/S29)-1</f>
        <v>-0.11412734359461096</v>
      </c>
      <c r="U30" s="15">
        <f t="shared" ref="U30" si="59">(U29/T29)-1</f>
        <v>0.17838678864390589</v>
      </c>
      <c r="V30" s="15">
        <f t="shared" ref="V30" si="60">(V29/U29)-1</f>
        <v>0.15922416098408876</v>
      </c>
      <c r="W30" s="15">
        <f t="shared" ref="W30" si="61">(W29/V29)-1</f>
        <v>6.1073809053514561E-2</v>
      </c>
      <c r="X30" s="15">
        <f t="shared" ref="X30" si="62">(X29/W29)-1</f>
        <v>0.45064794068051106</v>
      </c>
      <c r="Y30" s="15">
        <f t="shared" ref="Y30" si="63">(Y29/X29)-1</f>
        <v>0.21084675908579986</v>
      </c>
      <c r="Z30" s="15">
        <f t="shared" ref="Z30" si="64">(Z29/Y29)-1</f>
        <v>-4.3706969907945092E-3</v>
      </c>
      <c r="AA30" s="15">
        <f t="shared" ref="AA30" si="65">(AA29/Z29)-1</f>
        <v>0.38056019579658917</v>
      </c>
      <c r="AB30" s="15">
        <f t="shared" ref="AB30" si="66">(AB29/AA29)-1</f>
        <v>0.6555139713538003</v>
      </c>
      <c r="AC30" s="15">
        <f t="shared" ref="AC30" si="67">(AC29/AB29)-1</f>
        <v>-6.74802828392711E-2</v>
      </c>
      <c r="AD30" s="16">
        <f t="shared" ref="AD30" si="68">(AD29/AC29)-1</f>
        <v>0.34975028252706797</v>
      </c>
      <c r="AE30" s="16">
        <f t="shared" ref="AE30" si="69">(AE29/AD29)-1</f>
        <v>0.19662390276839981</v>
      </c>
      <c r="AF30" s="16">
        <f t="shared" ref="AF30" si="70">(AF29/AE29)-1</f>
        <v>0.26656133619230338</v>
      </c>
      <c r="AG30" s="16">
        <f t="shared" ref="AG30" si="71">(AG29/AF29)-1</f>
        <v>0.14844515726632812</v>
      </c>
      <c r="AH30" s="16">
        <f t="shared" ref="AH30" si="72">(AH29/AG29)-1</f>
        <v>0.18217084335479861</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34">
        <f>AD29/AD4</f>
        <v>0.27872925057402043</v>
      </c>
      <c r="AE31" s="34">
        <f t="shared" ref="AE31:AH31" si="73">AE29/AE4</f>
        <v>0.29777867392546292</v>
      </c>
      <c r="AF31" s="34">
        <f t="shared" si="73"/>
        <v>0.32347600518806746</v>
      </c>
      <c r="AG31" s="34">
        <f t="shared" si="73"/>
        <v>0.32150964104866669</v>
      </c>
      <c r="AH31" s="34">
        <f t="shared" si="73"/>
        <v>0.35278182954782245</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36">
        <v>18.77</v>
      </c>
      <c r="AE32" s="36">
        <v>22.46</v>
      </c>
      <c r="AF32" s="36">
        <v>28.44</v>
      </c>
      <c r="AG32" s="36">
        <v>32.659999999999997</v>
      </c>
      <c r="AH32" s="36">
        <v>38.61</v>
      </c>
    </row>
    <row r="33" spans="1:29"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29"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row>
    <row r="35" spans="1:29"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row>
    <row r="36" spans="1:29" ht="20" customHeight="1" x14ac:dyDescent="0.25">
      <c r="A36" s="14" t="s">
        <v>137</v>
      </c>
      <c r="B36" s="1"/>
      <c r="C36" s="24">
        <f>(C35-B35)/B35</f>
        <v>4.1735427891645867E-2</v>
      </c>
      <c r="D36" s="24">
        <f t="shared" ref="D36:G36" si="74">(D35-C35)/C35</f>
        <v>2.3061923137880198E-2</v>
      </c>
      <c r="E36" s="24">
        <f t="shared" si="74"/>
        <v>2.1963683622972824E-2</v>
      </c>
      <c r="F36" s="24">
        <f t="shared" si="74"/>
        <v>-0.12146748094155442</v>
      </c>
      <c r="G36" s="24">
        <f t="shared" si="74"/>
        <v>3.9632295351572443E-2</v>
      </c>
      <c r="H36" s="24">
        <f t="shared" ref="H36" si="75">(H35-G35)/G35</f>
        <v>6.6059800089528317E-2</v>
      </c>
      <c r="I36" s="24">
        <f t="shared" ref="I36" si="76">(I35-H35)/H35</f>
        <v>2.3611940477784515E-2</v>
      </c>
      <c r="J36" s="24">
        <f t="shared" ref="J36" si="77">(J35-I35)/I35</f>
        <v>1.1269413512263345E-2</v>
      </c>
      <c r="K36" s="24">
        <f t="shared" ref="K36" si="78">(K35-J35)/J35</f>
        <v>5.0203212061519838E-3</v>
      </c>
      <c r="L36" s="24">
        <f t="shared" ref="L36" si="79">(L35-K35)/K35</f>
        <v>0.12032740392851796</v>
      </c>
      <c r="M36" s="24">
        <f t="shared" ref="M36" si="80">(M35-L35)/L35</f>
        <v>-7.1818615831729993E-2</v>
      </c>
      <c r="N36" s="24">
        <f t="shared" ref="N36" si="81">(N35-M35)/M35</f>
        <v>8.4060985386721909E-2</v>
      </c>
      <c r="O36" s="24">
        <f t="shared" ref="O36" si="82">(O35-N35)/N35</f>
        <v>-0.10591730962867786</v>
      </c>
      <c r="P36" s="24">
        <f t="shared" ref="P36" si="83">(P35-O35)/O35</f>
        <v>-3.6618647873700211E-3</v>
      </c>
      <c r="Q36" s="24">
        <f t="shared" ref="Q36" si="84">(Q35-P35)/P35</f>
        <v>1.4759081400321302E-2</v>
      </c>
      <c r="R36" s="24">
        <f t="shared" ref="R36" si="85">(R35-Q35)/Q35</f>
        <v>-2.2658314350797265E-2</v>
      </c>
      <c r="S36" s="24">
        <f t="shared" ref="S36" si="86">(S35-R35)/R35</f>
        <v>0.292487069302521</v>
      </c>
      <c r="T36" s="24">
        <f t="shared" ref="T36" si="87">(T35-S35)/S35</f>
        <v>1.5096018735362997E-2</v>
      </c>
      <c r="U36" s="24">
        <f t="shared" ref="U36" si="88">(U35-T35)/T35</f>
        <v>1.4412406620432534E-2</v>
      </c>
      <c r="V36" s="24">
        <f t="shared" ref="V36" si="89">(V35-U35)/U35</f>
        <v>-1.6131710079532766E-2</v>
      </c>
      <c r="W36" s="24">
        <f t="shared" ref="W36" si="90">(W35-V35)/V35</f>
        <v>-1.1326860841423949E-2</v>
      </c>
      <c r="X36" s="24">
        <f t="shared" ref="X36" si="91">(X35-W35)/W35</f>
        <v>9.11854103343465E-3</v>
      </c>
      <c r="Y36" s="24">
        <f t="shared" ref="Y36" si="92">(Y35-X35)/X35</f>
        <v>-1.2048192771084338E-2</v>
      </c>
      <c r="Z36" s="24">
        <f t="shared" ref="Z36" si="93">(Z35-Y35)/Y35</f>
        <v>-1.125703564727955E-2</v>
      </c>
      <c r="AA36" s="24">
        <f t="shared" ref="AA36" si="94">(AA35-Z35)/Z35</f>
        <v>-5.9297912713472487E-3</v>
      </c>
      <c r="AB36" s="24">
        <f t="shared" ref="AB36" si="95">(AB35-AA35)/AA35</f>
        <v>-2.0758768790264854E-2</v>
      </c>
      <c r="AC36" s="24">
        <f t="shared" ref="AC36" si="96">(AC35-AB35)/AB35</f>
        <v>0</v>
      </c>
    </row>
    <row r="37" spans="1:29" ht="22" customHeight="1"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row>
    <row r="38" spans="1:29" ht="22" customHeight="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row>
    <row r="39" spans="1:29"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29" ht="20" customHeight="1"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t="s">
        <v>91</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29"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29"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29"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29"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29"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29"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29" ht="19" x14ac:dyDescent="0.25">
      <c r="A47" s="5" t="s">
        <v>38</v>
      </c>
      <c r="B47" s="1" t="s">
        <v>91</v>
      </c>
      <c r="C47" s="1" t="s">
        <v>91</v>
      </c>
      <c r="D47" s="1" t="s">
        <v>91</v>
      </c>
      <c r="E47" s="1" t="s">
        <v>91</v>
      </c>
      <c r="F47" s="1" t="s">
        <v>91</v>
      </c>
      <c r="G47" s="1" t="s">
        <v>91</v>
      </c>
      <c r="H47" s="1" t="s">
        <v>91</v>
      </c>
      <c r="I47" s="1" t="s">
        <v>91</v>
      </c>
      <c r="J47" s="1" t="s">
        <v>91</v>
      </c>
      <c r="K47" s="1" t="s">
        <v>91</v>
      </c>
      <c r="L47" s="1" t="s">
        <v>91</v>
      </c>
      <c r="M47" s="1" t="s">
        <v>91</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29" ht="19" x14ac:dyDescent="0.25">
      <c r="A48" s="5" t="s">
        <v>39</v>
      </c>
      <c r="B48" s="1" t="s">
        <v>91</v>
      </c>
      <c r="C48" s="1" t="s">
        <v>91</v>
      </c>
      <c r="D48" s="1" t="s">
        <v>91</v>
      </c>
      <c r="E48" s="1" t="s">
        <v>91</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91</v>
      </c>
      <c r="C49" s="1" t="s">
        <v>91</v>
      </c>
      <c r="D49" s="1" t="s">
        <v>91</v>
      </c>
      <c r="E49" s="1" t="s">
        <v>91</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982200000</v>
      </c>
      <c r="Y50" s="1">
        <v>915800000</v>
      </c>
      <c r="Z50" s="1">
        <v>833000000</v>
      </c>
      <c r="AA50" s="1">
        <v>820700000</v>
      </c>
      <c r="AB50" s="1">
        <v>892500000</v>
      </c>
      <c r="AC50" s="1">
        <v>923600000</v>
      </c>
    </row>
    <row r="51" spans="1:29" ht="19" x14ac:dyDescent="0.25">
      <c r="A51" s="5" t="s">
        <v>42</v>
      </c>
      <c r="B51" s="1" t="s">
        <v>91</v>
      </c>
      <c r="C51" s="1" t="s">
        <v>91</v>
      </c>
      <c r="D51" s="1" t="s">
        <v>91</v>
      </c>
      <c r="E51" s="1" t="s">
        <v>91</v>
      </c>
      <c r="F51" s="1" t="s">
        <v>91</v>
      </c>
      <c r="G51" s="1" t="s">
        <v>91</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91</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91</v>
      </c>
    </row>
    <row r="57" spans="1:29" ht="19" x14ac:dyDescent="0.25">
      <c r="A57" s="5" t="s">
        <v>48</v>
      </c>
      <c r="B57" s="1">
        <v>779910</v>
      </c>
      <c r="C57" s="1" t="s">
        <v>91</v>
      </c>
      <c r="D57" s="1" t="s">
        <v>91</v>
      </c>
      <c r="E57" s="1" t="s">
        <v>91</v>
      </c>
      <c r="F57" s="1" t="s">
        <v>91</v>
      </c>
      <c r="G57" s="1" t="s">
        <v>91</v>
      </c>
      <c r="H57" s="1" t="s">
        <v>91</v>
      </c>
      <c r="I57" s="1" t="s">
        <v>91</v>
      </c>
      <c r="J57" s="1" t="s">
        <v>91</v>
      </c>
      <c r="K57" s="1" t="s">
        <v>91</v>
      </c>
      <c r="L57" s="1" t="s">
        <v>91</v>
      </c>
      <c r="M57" s="1">
        <v>7405662</v>
      </c>
      <c r="N57" s="1">
        <v>1207817</v>
      </c>
      <c r="O57" s="1">
        <v>70204087</v>
      </c>
      <c r="P57" s="1" t="s">
        <v>91</v>
      </c>
      <c r="Q57" s="1" t="s">
        <v>91</v>
      </c>
      <c r="R57" s="1">
        <v>2587000</v>
      </c>
      <c r="S57" s="1">
        <v>3610000</v>
      </c>
      <c r="T57" s="1">
        <v>4385000</v>
      </c>
      <c r="U57" s="1">
        <v>4261000</v>
      </c>
      <c r="V57" s="1">
        <v>4211000</v>
      </c>
      <c r="W57" s="1">
        <v>247672000</v>
      </c>
      <c r="X57" s="1">
        <v>25200000</v>
      </c>
      <c r="Y57" s="1" t="s">
        <v>91</v>
      </c>
      <c r="Z57" s="1" t="s">
        <v>91</v>
      </c>
      <c r="AA57" s="1">
        <v>15400000</v>
      </c>
      <c r="AB57" s="1">
        <v>509100000</v>
      </c>
      <c r="AC57" s="23">
        <v>0</v>
      </c>
    </row>
    <row r="58" spans="1:29"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15032000</v>
      </c>
      <c r="Q58" s="1">
        <v>61197000</v>
      </c>
      <c r="R58" s="1" t="s">
        <v>91</v>
      </c>
      <c r="S58" s="1">
        <v>10791000</v>
      </c>
      <c r="T58" s="1">
        <v>15803000</v>
      </c>
      <c r="U58" s="1">
        <v>36293000</v>
      </c>
      <c r="V58" s="1">
        <v>3654000</v>
      </c>
      <c r="W58" s="1">
        <v>201930000</v>
      </c>
      <c r="X58" s="1">
        <v>152000000</v>
      </c>
      <c r="Y58" s="1">
        <v>187900000</v>
      </c>
      <c r="Z58" s="1">
        <v>65600000</v>
      </c>
      <c r="AA58" s="1">
        <v>110000000</v>
      </c>
      <c r="AB58" s="1">
        <v>301900000</v>
      </c>
      <c r="AC58" s="1" t="s">
        <v>91</v>
      </c>
    </row>
    <row r="59" spans="1:29" ht="19" x14ac:dyDescent="0.25">
      <c r="A59" s="5" t="s">
        <v>50</v>
      </c>
      <c r="B59" s="1" t="s">
        <v>91</v>
      </c>
      <c r="C59" s="1" t="s">
        <v>91</v>
      </c>
      <c r="D59" s="1" t="s">
        <v>91</v>
      </c>
      <c r="E59" s="1" t="s">
        <v>91</v>
      </c>
      <c r="F59" s="1" t="s">
        <v>91</v>
      </c>
      <c r="G59" s="1" t="s">
        <v>91</v>
      </c>
      <c r="H59" s="1" t="s">
        <v>91</v>
      </c>
      <c r="I59" s="1" t="s">
        <v>91</v>
      </c>
      <c r="J59" s="1" t="s">
        <v>91</v>
      </c>
      <c r="K59" s="1" t="s">
        <v>91</v>
      </c>
      <c r="L59" s="1" t="s">
        <v>91</v>
      </c>
      <c r="M59" s="1">
        <v>191234137</v>
      </c>
      <c r="N59" s="1">
        <v>295039326</v>
      </c>
      <c r="O59" s="1">
        <v>262830549</v>
      </c>
      <c r="P59" s="1" t="s">
        <v>91</v>
      </c>
      <c r="Q59" s="1" t="s">
        <v>91</v>
      </c>
      <c r="R59" s="1" t="s">
        <v>91</v>
      </c>
      <c r="S59" s="1" t="s">
        <v>91</v>
      </c>
      <c r="T59" s="1" t="s">
        <v>91</v>
      </c>
      <c r="U59" s="1" t="s">
        <v>91</v>
      </c>
      <c r="V59" s="1" t="s">
        <v>91</v>
      </c>
      <c r="W59" s="1" t="s">
        <v>91</v>
      </c>
      <c r="X59" s="1" t="s">
        <v>91</v>
      </c>
      <c r="Y59" s="1">
        <v>1728600000</v>
      </c>
      <c r="Z59" s="1">
        <v>2526400000</v>
      </c>
      <c r="AA59" s="1">
        <v>3954200000</v>
      </c>
      <c r="AB59" s="1">
        <v>7935200000</v>
      </c>
      <c r="AC59" s="1" t="s">
        <v>91</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91</v>
      </c>
      <c r="D62" s="1" t="s">
        <v>91</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91</v>
      </c>
      <c r="C65" s="1">
        <v>-80347</v>
      </c>
      <c r="D65" s="1">
        <v>90909</v>
      </c>
      <c r="E65" s="1" t="s">
        <v>91</v>
      </c>
      <c r="F65" s="1">
        <v>-99379</v>
      </c>
      <c r="G65" s="1" t="s">
        <v>91</v>
      </c>
      <c r="H65" s="1" t="s">
        <v>91</v>
      </c>
      <c r="I65" s="1" t="s">
        <v>91</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91</v>
      </c>
      <c r="C67" s="1" t="s">
        <v>91</v>
      </c>
      <c r="D67" s="1" t="s">
        <v>91</v>
      </c>
      <c r="E67" s="1" t="s">
        <v>91</v>
      </c>
      <c r="F67" s="1" t="s">
        <v>91</v>
      </c>
      <c r="G67" s="1" t="s">
        <v>91</v>
      </c>
      <c r="H67" s="1" t="s">
        <v>91</v>
      </c>
      <c r="I67" s="1" t="s">
        <v>91</v>
      </c>
      <c r="J67" s="1" t="s">
        <v>90</v>
      </c>
      <c r="K67" s="1" t="s">
        <v>91</v>
      </c>
      <c r="L67" s="1" t="s">
        <v>90</v>
      </c>
      <c r="M67" s="1" t="s">
        <v>91</v>
      </c>
      <c r="N67" s="1" t="s">
        <v>90</v>
      </c>
      <c r="O67" s="1" t="s">
        <v>90</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91</v>
      </c>
      <c r="C69" s="1" t="s">
        <v>91</v>
      </c>
      <c r="D69" s="1" t="s">
        <v>91</v>
      </c>
      <c r="E69" s="1" t="s">
        <v>91</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91</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91</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91</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91</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row>
    <row r="76" spans="1:29"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104</v>
      </c>
      <c r="B81" s="15" t="e">
        <f>B80/B4</f>
        <v>#VALUE!</v>
      </c>
      <c r="C81" s="15" t="e">
        <f t="shared" ref="C81:Q81" si="97">C80/C4</f>
        <v>#VALUE!</v>
      </c>
      <c r="D81" s="15" t="e">
        <f t="shared" si="97"/>
        <v>#VALUE!</v>
      </c>
      <c r="E81" s="15" t="e">
        <f t="shared" si="97"/>
        <v>#VALUE!</v>
      </c>
      <c r="F81" s="15" t="e">
        <f t="shared" si="97"/>
        <v>#VALUE!</v>
      </c>
      <c r="G81" s="15" t="e">
        <f t="shared" si="97"/>
        <v>#VALUE!</v>
      </c>
      <c r="H81" s="15" t="e">
        <f t="shared" si="97"/>
        <v>#VALUE!</v>
      </c>
      <c r="I81" s="15" t="e">
        <f t="shared" si="97"/>
        <v>#VALUE!</v>
      </c>
      <c r="J81" s="15" t="e">
        <f t="shared" si="97"/>
        <v>#VALUE!</v>
      </c>
      <c r="K81" s="15" t="e">
        <f t="shared" si="97"/>
        <v>#VALUE!</v>
      </c>
      <c r="L81" s="15" t="e">
        <f t="shared" si="97"/>
        <v>#VALUE!</v>
      </c>
      <c r="M81" s="15" t="e">
        <f t="shared" si="97"/>
        <v>#VALUE!</v>
      </c>
      <c r="N81" s="15" t="e">
        <f t="shared" si="97"/>
        <v>#VALUE!</v>
      </c>
      <c r="O81" s="15" t="e">
        <f t="shared" si="97"/>
        <v>#VALUE!</v>
      </c>
      <c r="P81" s="15">
        <f t="shared" si="97"/>
        <v>8.3918993172575271E-3</v>
      </c>
      <c r="Q81" s="15">
        <f t="shared" si="97"/>
        <v>2.6861505193727154E-3</v>
      </c>
      <c r="R81" s="15">
        <f t="shared" ref="R81" si="98">R80/R4</f>
        <v>2.1995970649624362E-3</v>
      </c>
      <c r="S81" s="15">
        <f t="shared" ref="S81" si="99">S80/S4</f>
        <v>3.9551479376230434E-3</v>
      </c>
      <c r="T81" s="15">
        <f t="shared" ref="T81" si="100">T80/T4</f>
        <v>9.9843174666360106E-3</v>
      </c>
      <c r="U81" s="15">
        <f t="shared" ref="U81" si="101">U80/U4</f>
        <v>1.0822575503173774E-2</v>
      </c>
      <c r="V81" s="15">
        <f t="shared" ref="V81" si="102">V80/V4</f>
        <v>9.3950177935943069E-3</v>
      </c>
      <c r="W81" s="15">
        <f t="shared" ref="W81" si="103">W80/W4</f>
        <v>7.0202709385125458E-3</v>
      </c>
      <c r="X81" s="15">
        <f t="shared" ref="X81" si="104">X80/X4</f>
        <v>5.8655885471898201E-3</v>
      </c>
      <c r="Y81" s="15">
        <f t="shared" ref="Y81" si="105">Y80/Y4</f>
        <v>4.2306286549707601E-3</v>
      </c>
      <c r="Z81" s="15">
        <f t="shared" ref="Z81" si="106">Z80/Z4</f>
        <v>6.3113367174280881E-3</v>
      </c>
      <c r="AA81" s="15">
        <f t="shared" ref="AA81" si="107">AA80/AA4</f>
        <v>3.8559215938763101E-3</v>
      </c>
      <c r="AB81" s="15">
        <f t="shared" ref="AB81" si="108">AB80/AB4</f>
        <v>6.3134705281822582E-3</v>
      </c>
      <c r="AC81" s="15">
        <f t="shared" ref="AC81" si="10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21"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91</v>
      </c>
      <c r="AJ83" s="67" t="s">
        <v>118</v>
      </c>
      <c r="AK83" s="68"/>
    </row>
    <row r="84" spans="1:37" ht="19"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91</v>
      </c>
      <c r="AJ84" s="64" t="s">
        <v>119</v>
      </c>
      <c r="AK84" s="64"/>
    </row>
    <row r="85" spans="1:37" ht="20"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91</v>
      </c>
      <c r="AJ85" s="50" t="s">
        <v>101</v>
      </c>
      <c r="AK85" s="51">
        <f>AC18</f>
        <v>-44600000</v>
      </c>
    </row>
    <row r="86" spans="1:37" ht="20" x14ac:dyDescent="0.25">
      <c r="A86" s="5" t="s">
        <v>71</v>
      </c>
      <c r="B86" s="1" t="s">
        <v>91</v>
      </c>
      <c r="C86" s="1" t="s">
        <v>91</v>
      </c>
      <c r="D86" s="1" t="s">
        <v>91</v>
      </c>
      <c r="E86" s="1" t="s">
        <v>91</v>
      </c>
      <c r="F86" s="1" t="s">
        <v>91</v>
      </c>
      <c r="G86" s="1" t="s">
        <v>91</v>
      </c>
      <c r="H86" s="1" t="s">
        <v>91</v>
      </c>
      <c r="I86" s="1" t="s">
        <v>91</v>
      </c>
      <c r="J86" s="1" t="s">
        <v>91</v>
      </c>
      <c r="K86" s="1" t="s">
        <v>91</v>
      </c>
      <c r="L86" s="1" t="s">
        <v>91</v>
      </c>
      <c r="M86" s="1">
        <v>-31366093</v>
      </c>
      <c r="N86" s="1">
        <v>-169428408</v>
      </c>
      <c r="O86" s="1">
        <v>-101306772</v>
      </c>
      <c r="P86" s="1">
        <v>14830000</v>
      </c>
      <c r="Q86" s="1" t="s">
        <v>91</v>
      </c>
      <c r="R86" s="1">
        <v>-130822000</v>
      </c>
      <c r="S86" s="1" t="s">
        <v>91</v>
      </c>
      <c r="T86" s="1" t="s">
        <v>91</v>
      </c>
      <c r="U86" s="1" t="s">
        <v>91</v>
      </c>
      <c r="V86" s="1" t="s">
        <v>91</v>
      </c>
      <c r="W86" s="1" t="s">
        <v>91</v>
      </c>
      <c r="X86" s="1">
        <v>-151800000</v>
      </c>
      <c r="Y86" s="1">
        <v>988400000</v>
      </c>
      <c r="Z86" s="1">
        <v>995700000</v>
      </c>
      <c r="AA86" s="1">
        <v>1549500000</v>
      </c>
      <c r="AB86" s="1">
        <v>5744200000</v>
      </c>
      <c r="AC86" s="1" t="s">
        <v>91</v>
      </c>
      <c r="AJ86" s="50" t="s">
        <v>120</v>
      </c>
      <c r="AK86" s="51">
        <f>AC57</f>
        <v>0</v>
      </c>
    </row>
    <row r="87" spans="1:37" ht="20" x14ac:dyDescent="0.25">
      <c r="A87" s="5" t="s">
        <v>72</v>
      </c>
      <c r="B87" s="1">
        <v>3119640</v>
      </c>
      <c r="C87" s="1">
        <v>3374574</v>
      </c>
      <c r="D87" s="1">
        <v>-10636353</v>
      </c>
      <c r="E87" s="1">
        <v>-85266</v>
      </c>
      <c r="F87" s="1" t="s">
        <v>91</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J87" s="50" t="s">
        <v>121</v>
      </c>
      <c r="AK87" s="51">
        <f>AC62</f>
        <v>3514200000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J88" s="52" t="s">
        <v>122</v>
      </c>
      <c r="AK88" s="53">
        <f>AK85/(AK86+AK87)</f>
        <v>-1.2691366456092425E-2</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J89" s="50" t="s">
        <v>123</v>
      </c>
      <c r="AK89" s="51">
        <f>AC28</f>
        <v>969900000</v>
      </c>
    </row>
    <row r="90" spans="1:37" ht="20" customHeight="1" x14ac:dyDescent="0.25">
      <c r="A90" s="14" t="s">
        <v>105</v>
      </c>
      <c r="B90" s="15">
        <f>(-1*B89)/B4</f>
        <v>4.9624322907565965E-2</v>
      </c>
      <c r="C90" s="15">
        <f t="shared" ref="C90:Q90" si="110">(-1*C89)/C4</f>
        <v>6.0967700090802955E-2</v>
      </c>
      <c r="D90" s="15">
        <f t="shared" si="110"/>
        <v>5.0714044754301135E-2</v>
      </c>
      <c r="E90" s="15">
        <f t="shared" si="110"/>
        <v>0.12647220693450742</v>
      </c>
      <c r="F90" s="15">
        <f t="shared" si="110"/>
        <v>9.1701244813278002E-2</v>
      </c>
      <c r="G90" s="15">
        <f t="shared" si="110"/>
        <v>6.0903775613929838E-2</v>
      </c>
      <c r="H90" s="15">
        <f t="shared" si="110"/>
        <v>0.18799741345080007</v>
      </c>
      <c r="I90" s="15">
        <f t="shared" si="110"/>
        <v>7.0755451803855382E-2</v>
      </c>
      <c r="J90" s="15">
        <f t="shared" si="110"/>
        <v>4.6307118616669946E-2</v>
      </c>
      <c r="K90" s="15">
        <f t="shared" si="110"/>
        <v>3.0412923882041139E-2</v>
      </c>
      <c r="L90" s="15">
        <f t="shared" si="110"/>
        <v>2.8731066089044664E-2</v>
      </c>
      <c r="M90" s="15">
        <f t="shared" si="110"/>
        <v>1.9665471475837595E-2</v>
      </c>
      <c r="N90" s="15">
        <f t="shared" si="110"/>
        <v>4.7037890898362446E-2</v>
      </c>
      <c r="O90" s="15">
        <f t="shared" si="110"/>
        <v>8.7959856039251064E-2</v>
      </c>
      <c r="P90" s="15">
        <f t="shared" si="110"/>
        <v>6.5761188624759798E-2</v>
      </c>
      <c r="Q90" s="15">
        <f t="shared" si="110"/>
        <v>2.8555849703345522E-2</v>
      </c>
      <c r="R90" s="15">
        <f t="shared" ref="R90" si="111">(-1*R89)/R4</f>
        <v>5.3246529175628887E-2</v>
      </c>
      <c r="S90" s="15">
        <f t="shared" ref="S90" si="112">(-1*S89)/S4</f>
        <v>3.6325901315740809E-2</v>
      </c>
      <c r="T90" s="15">
        <f t="shared" ref="T90" si="113">(-1*T89)/T4</f>
        <v>4.0188922480699961E-2</v>
      </c>
      <c r="U90" s="15">
        <f t="shared" ref="U90" si="114">(-1*U89)/U4</f>
        <v>6.1178800114816974E-2</v>
      </c>
      <c r="V90" s="15">
        <f t="shared" ref="V90" si="115">(-1*V89)/V4</f>
        <v>5.9129604962325298E-2</v>
      </c>
      <c r="W90" s="15">
        <f t="shared" ref="W90" si="116">(-1*W89)/W4</f>
        <v>4.6556224568608244E-2</v>
      </c>
      <c r="X90" s="15">
        <f t="shared" ref="X90" si="117">(-1*X89)/X4</f>
        <v>3.7435931424531638E-2</v>
      </c>
      <c r="Y90" s="15">
        <f t="shared" ref="Y90" si="118">(-1*Y89)/Y4</f>
        <v>5.2448830409356724E-2</v>
      </c>
      <c r="Z90" s="15">
        <f t="shared" ref="Z90" si="119">(-1*Z89)/Z4</f>
        <v>6.4856175972927241E-2</v>
      </c>
      <c r="AA90" s="15">
        <f t="shared" ref="AA90" si="120">(-1*AA89)/AA4</f>
        <v>6.8819973530779413E-2</v>
      </c>
      <c r="AB90" s="15">
        <f t="shared" ref="AB90" si="121">(-1*AB89)/AB4</f>
        <v>4.8396109827521357E-2</v>
      </c>
      <c r="AC90" s="15">
        <f t="shared" ref="AC90" si="122">(-1*AC89)/AC4</f>
        <v>6.0538222486705019E-2</v>
      </c>
      <c r="AJ90" s="50" t="s">
        <v>19</v>
      </c>
      <c r="AK90" s="51">
        <f>AC26</f>
        <v>6456100000</v>
      </c>
    </row>
    <row r="91" spans="1:37" ht="20" customHeight="1" x14ac:dyDescent="0.25">
      <c r="A91" s="5" t="s">
        <v>75</v>
      </c>
      <c r="B91" s="1" t="s">
        <v>91</v>
      </c>
      <c r="C91" s="1" t="s">
        <v>91</v>
      </c>
      <c r="D91" s="1" t="s">
        <v>91</v>
      </c>
      <c r="E91" s="1" t="s">
        <v>91</v>
      </c>
      <c r="F91" s="1" t="s">
        <v>91</v>
      </c>
      <c r="G91" s="1" t="s">
        <v>91</v>
      </c>
      <c r="H91" s="1" t="s">
        <v>91</v>
      </c>
      <c r="I91" s="1" t="s">
        <v>91</v>
      </c>
      <c r="J91" s="1" t="s">
        <v>91</v>
      </c>
      <c r="K91" s="1" t="s">
        <v>91</v>
      </c>
      <c r="L91" s="1" t="s">
        <v>91</v>
      </c>
      <c r="M91" s="1" t="s">
        <v>91</v>
      </c>
      <c r="N91" s="1">
        <v>-188306980</v>
      </c>
      <c r="O91" s="1" t="s">
        <v>91</v>
      </c>
      <c r="P91" s="1" t="s">
        <v>91</v>
      </c>
      <c r="Q91" s="1" t="s">
        <v>91</v>
      </c>
      <c r="R91" s="1" t="s">
        <v>91</v>
      </c>
      <c r="S91" s="1">
        <v>-10292000</v>
      </c>
      <c r="T91" s="1">
        <v>-443712000</v>
      </c>
      <c r="U91" s="1" t="s">
        <v>91</v>
      </c>
      <c r="V91" s="1" t="s">
        <v>91</v>
      </c>
      <c r="W91" s="1">
        <v>-2641295000</v>
      </c>
      <c r="X91" s="1">
        <v>-1019700000</v>
      </c>
      <c r="Y91" s="1" t="s">
        <v>91</v>
      </c>
      <c r="Z91" s="1" t="s">
        <v>91</v>
      </c>
      <c r="AA91" s="1">
        <v>-222800000</v>
      </c>
      <c r="AB91" s="1">
        <v>329000000</v>
      </c>
      <c r="AC91" s="1" t="s">
        <v>91</v>
      </c>
      <c r="AJ91" s="52" t="s">
        <v>124</v>
      </c>
      <c r="AK91" s="53">
        <f>AK89/AK90</f>
        <v>0.15023001502455041</v>
      </c>
    </row>
    <row r="92" spans="1:37" ht="20" customHeight="1" x14ac:dyDescent="0.25">
      <c r="A92" s="5" t="s">
        <v>76</v>
      </c>
      <c r="B92" s="1">
        <v>-5303388</v>
      </c>
      <c r="C92" s="1">
        <v>-1847981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J92" s="52" t="s">
        <v>125</v>
      </c>
      <c r="AK92" s="53">
        <f>AK88*(1-AK91)</f>
        <v>-1.0784742282711585E-2</v>
      </c>
    </row>
    <row r="93" spans="1:37" ht="19" x14ac:dyDescent="0.25">
      <c r="A93" s="5" t="s">
        <v>77</v>
      </c>
      <c r="B93" s="1" t="s">
        <v>91</v>
      </c>
      <c r="C93" s="1">
        <v>5222555</v>
      </c>
      <c r="D93" s="1">
        <v>15818166</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J93" s="69" t="s">
        <v>126</v>
      </c>
      <c r="AK93" s="69"/>
    </row>
    <row r="94" spans="1:37" ht="20" x14ac:dyDescent="0.25">
      <c r="A94" s="5" t="s">
        <v>78</v>
      </c>
      <c r="B94" s="1">
        <v>2261739</v>
      </c>
      <c r="C94" s="1" t="s">
        <v>91</v>
      </c>
      <c r="D94" s="1">
        <v>12363624</v>
      </c>
      <c r="E94" s="1">
        <v>-3751704</v>
      </c>
      <c r="F94" s="1">
        <v>-10236037</v>
      </c>
      <c r="G94" s="1">
        <v>2995114</v>
      </c>
      <c r="H94" s="1">
        <v>-13261014</v>
      </c>
      <c r="I94" s="1">
        <v>58696281</v>
      </c>
      <c r="J94" s="1">
        <v>45657519</v>
      </c>
      <c r="K94" s="1">
        <v>14570655</v>
      </c>
      <c r="L94" s="1">
        <v>11848202</v>
      </c>
      <c r="M94" s="1">
        <v>5215938</v>
      </c>
      <c r="N94" s="1">
        <v>19250999</v>
      </c>
      <c r="O94" s="1" t="s">
        <v>91</v>
      </c>
      <c r="P94" s="1">
        <v>6877000</v>
      </c>
      <c r="Q94" s="1">
        <v>3825000</v>
      </c>
      <c r="R94" s="1" t="s">
        <v>91</v>
      </c>
      <c r="S94" s="1">
        <v>-7658000</v>
      </c>
      <c r="T94" s="1">
        <v>-4000000</v>
      </c>
      <c r="U94" s="1">
        <v>-2952000</v>
      </c>
      <c r="V94" s="1">
        <v>-1108000</v>
      </c>
      <c r="W94" s="1">
        <v>-15811000</v>
      </c>
      <c r="X94" s="1">
        <v>1600000</v>
      </c>
      <c r="Y94" s="1">
        <v>-31100000</v>
      </c>
      <c r="Z94" s="1">
        <v>-118400000</v>
      </c>
      <c r="AA94" s="1">
        <v>-51000000</v>
      </c>
      <c r="AB94" s="1">
        <v>-164000000</v>
      </c>
      <c r="AC94" s="1">
        <v>-277500000</v>
      </c>
      <c r="AJ94" s="50" t="s">
        <v>103</v>
      </c>
      <c r="AK94" s="54">
        <f>[1]Treasuries!$C$8</f>
        <v>4.0410000000000001E-2</v>
      </c>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J95" s="50" t="s">
        <v>127</v>
      </c>
      <c r="AK95" s="55" cm="1">
        <f t="array" ref="AK95">_FV(A1,"Beta")</f>
        <v>1.5590999999999999</v>
      </c>
    </row>
    <row r="96" spans="1:37"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J96" s="50" t="s">
        <v>128</v>
      </c>
      <c r="AK96" s="54">
        <v>8.4000000000000005E-2</v>
      </c>
    </row>
    <row r="97" spans="1:37" ht="20" x14ac:dyDescent="0.25">
      <c r="A97" s="5" t="s">
        <v>81</v>
      </c>
      <c r="B97" s="1" t="s">
        <v>91</v>
      </c>
      <c r="C97" s="1">
        <v>44110503</v>
      </c>
      <c r="D97" s="1" t="s">
        <v>91</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J97" s="52" t="s">
        <v>129</v>
      </c>
      <c r="AK97" s="53">
        <f>(AK94)+((AK95)*(AK96-AK94))</f>
        <v>0.108371169</v>
      </c>
    </row>
    <row r="98" spans="1:37" ht="19" x14ac:dyDescent="0.25">
      <c r="A98" s="5" t="s">
        <v>82</v>
      </c>
      <c r="B98" s="1" t="s">
        <v>91</v>
      </c>
      <c r="C98" s="1" t="s">
        <v>91</v>
      </c>
      <c r="D98" s="1" t="s">
        <v>91</v>
      </c>
      <c r="E98" s="1" t="s">
        <v>91</v>
      </c>
      <c r="F98" s="1" t="s">
        <v>91</v>
      </c>
      <c r="G98" s="1" t="s">
        <v>91</v>
      </c>
      <c r="H98" s="1" t="s">
        <v>91</v>
      </c>
      <c r="I98" s="1" t="s">
        <v>91</v>
      </c>
      <c r="J98" s="1" t="s">
        <v>91</v>
      </c>
      <c r="K98" s="1" t="s">
        <v>91</v>
      </c>
      <c r="L98" s="1" t="s">
        <v>91</v>
      </c>
      <c r="M98" s="1">
        <v>-678384861</v>
      </c>
      <c r="N98" s="1">
        <v>-360423313</v>
      </c>
      <c r="O98" s="1">
        <v>-87812755</v>
      </c>
      <c r="P98" s="1" t="s">
        <v>91</v>
      </c>
      <c r="Q98" s="1" t="s">
        <v>91</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J98" s="69" t="s">
        <v>130</v>
      </c>
      <c r="AK98" s="69"/>
    </row>
    <row r="99" spans="1:37" ht="20"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J99" s="50" t="s">
        <v>131</v>
      </c>
      <c r="AK99" s="51">
        <f>AK86+AK87</f>
        <v>3514200000</v>
      </c>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91</v>
      </c>
      <c r="Y100" s="1" t="s">
        <v>91</v>
      </c>
      <c r="Z100" s="1" t="s">
        <v>91</v>
      </c>
      <c r="AA100" s="1">
        <v>1486300000</v>
      </c>
      <c r="AB100" s="1" t="s">
        <v>91</v>
      </c>
      <c r="AC100" s="1">
        <v>495600000</v>
      </c>
      <c r="AJ100" s="52" t="s">
        <v>132</v>
      </c>
      <c r="AK100" s="53">
        <f>AK99/AK103</f>
        <v>1.3429179250232818E-2</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J101" s="50" t="s">
        <v>133</v>
      </c>
      <c r="AK101" s="44" cm="1">
        <f t="array" ref="AK101">_FV(A1,"Market cap",TRUE)</f>
        <v>258169700000</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J102" s="52" t="s">
        <v>134</v>
      </c>
      <c r="AK102" s="53">
        <f>AK101/AK103</f>
        <v>0.98657082074976721</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J103" s="52" t="s">
        <v>135</v>
      </c>
      <c r="AK103" s="56">
        <f>AK99+AK101</f>
        <v>261683900000</v>
      </c>
    </row>
    <row r="104" spans="1:37" ht="19"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J104" s="64" t="s">
        <v>136</v>
      </c>
      <c r="AK104" s="64"/>
    </row>
    <row r="105" spans="1:37" ht="21" thickBot="1" x14ac:dyDescent="0.3">
      <c r="A105" s="7" t="s">
        <v>89</v>
      </c>
      <c r="B105" s="11" t="s">
        <v>91</v>
      </c>
      <c r="C105" s="11" t="s">
        <v>91</v>
      </c>
      <c r="D105" s="11" t="s">
        <v>91</v>
      </c>
      <c r="E105" s="11" t="s">
        <v>91</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J105" s="57" t="s">
        <v>118</v>
      </c>
      <c r="AK105" s="58">
        <f>(AK100*AK92)+(AK102*AK97)</f>
        <v>0.10677100290865964</v>
      </c>
    </row>
    <row r="106" spans="1:37" ht="20" thickTop="1" x14ac:dyDescent="0.25">
      <c r="A106" s="14" t="s">
        <v>161</v>
      </c>
      <c r="B106" s="1">
        <f t="shared" ref="B106:AB106" si="123">(B23*(1-$AK$91))+B78+B89+B82</f>
        <v>29995522.702297062</v>
      </c>
      <c r="C106" s="1">
        <f t="shared" si="123"/>
        <v>25230055.660414189</v>
      </c>
      <c r="D106" s="1">
        <f t="shared" si="123"/>
        <v>-23946940.938956946</v>
      </c>
      <c r="E106" s="1">
        <f t="shared" si="123"/>
        <v>-134079767.39722122</v>
      </c>
      <c r="F106" s="1">
        <f t="shared" si="123"/>
        <v>-84278120.741624191</v>
      </c>
      <c r="G106" s="1">
        <f t="shared" si="123"/>
        <v>133411816.62892461</v>
      </c>
      <c r="H106" s="1">
        <f t="shared" si="123"/>
        <v>-875796020.54777658</v>
      </c>
      <c r="I106" s="1">
        <f t="shared" si="123"/>
        <v>-294867467.76993853</v>
      </c>
      <c r="J106" s="1">
        <f t="shared" si="123"/>
        <v>455794446.05374759</v>
      </c>
      <c r="K106" s="1">
        <f t="shared" si="123"/>
        <v>113561069.62000281</v>
      </c>
      <c r="L106" s="1">
        <f t="shared" si="123"/>
        <v>670661808.65572095</v>
      </c>
      <c r="M106" s="1">
        <f t="shared" si="123"/>
        <v>421860305.67117929</v>
      </c>
      <c r="N106" s="1">
        <f t="shared" si="123"/>
        <v>307453545.34096444</v>
      </c>
      <c r="O106" s="1">
        <f t="shared" si="123"/>
        <v>-206557647.16652465</v>
      </c>
      <c r="P106" s="1">
        <f t="shared" si="123"/>
        <v>-68938094.530753881</v>
      </c>
      <c r="Q106" s="1">
        <f t="shared" si="123"/>
        <v>746233470.43880987</v>
      </c>
      <c r="R106" s="1">
        <f t="shared" si="123"/>
        <v>1544769095.6614676</v>
      </c>
      <c r="S106" s="1">
        <f t="shared" si="123"/>
        <v>285060824.59999084</v>
      </c>
      <c r="T106" s="1">
        <f t="shared" si="123"/>
        <v>506886756.2150526</v>
      </c>
      <c r="U106" s="1">
        <f t="shared" si="123"/>
        <v>378576816.68499565</v>
      </c>
      <c r="V106" s="1">
        <f t="shared" si="123"/>
        <v>1272633745.4345503</v>
      </c>
      <c r="W106" s="1">
        <f t="shared" si="123"/>
        <v>1154350596.2732921</v>
      </c>
      <c r="X106" s="1">
        <f t="shared" si="123"/>
        <v>1260495836.495717</v>
      </c>
      <c r="Y106" s="1">
        <f t="shared" si="123"/>
        <v>2309122936.447701</v>
      </c>
      <c r="Z106" s="1">
        <f t="shared" si="123"/>
        <v>2165038074.0694847</v>
      </c>
      <c r="AA106" s="1">
        <f t="shared" si="123"/>
        <v>3503243094.1280341</v>
      </c>
      <c r="AB106" s="1">
        <f t="shared" si="123"/>
        <v>10198732375.582783</v>
      </c>
      <c r="AC106" s="1">
        <f>(AC23*(1-$AK$91))+AC78+AC89+AC82</f>
        <v>7267099741.3299055</v>
      </c>
      <c r="AD106" s="25">
        <f>AC106*(1+$AK$107)</f>
        <v>8391464773.4071131</v>
      </c>
      <c r="AE106" s="25">
        <f t="shared" ref="AE106:AH106" si="124">AD106*(1+$AK$107)</f>
        <v>9689791464.2418251</v>
      </c>
      <c r="AF106" s="25">
        <f t="shared" si="124"/>
        <v>11188995146.358883</v>
      </c>
      <c r="AG106" s="25">
        <f t="shared" si="124"/>
        <v>12920155490.161354</v>
      </c>
      <c r="AH106" s="25">
        <f t="shared" si="124"/>
        <v>14919160809.920361</v>
      </c>
      <c r="AI106" s="26" t="s">
        <v>164</v>
      </c>
      <c r="AJ106" s="65" t="s">
        <v>140</v>
      </c>
      <c r="AK106" s="65"/>
    </row>
    <row r="107" spans="1:37" ht="19" x14ac:dyDescent="0.25">
      <c r="A107" s="14" t="s">
        <v>162</v>
      </c>
      <c r="B107" s="1"/>
      <c r="C107" s="15">
        <f t="shared" ref="C107:AC107" si="125">(C108/B108)-1</f>
        <v>-0.8009824268767608</v>
      </c>
      <c r="D107" s="15">
        <f t="shared" si="125"/>
        <v>-21.832079824350117</v>
      </c>
      <c r="E107" s="15">
        <f t="shared" si="125"/>
        <v>1.6594573719174357</v>
      </c>
      <c r="F107" s="15">
        <f t="shared" si="125"/>
        <v>-0.52591351736719194</v>
      </c>
      <c r="G107" s="15">
        <f t="shared" si="125"/>
        <v>-1.744870646716107</v>
      </c>
      <c r="H107" s="15">
        <f t="shared" si="125"/>
        <v>-11.913888658073057</v>
      </c>
      <c r="I107" s="15">
        <f t="shared" si="125"/>
        <v>-0.66979189736365963</v>
      </c>
      <c r="J107" s="15">
        <f t="shared" si="125"/>
        <v>-3.26949536002674</v>
      </c>
      <c r="K107" s="15">
        <f t="shared" si="125"/>
        <v>-0.59701276650847013</v>
      </c>
      <c r="L107" s="15">
        <f t="shared" si="125"/>
        <v>2.6237406549827647</v>
      </c>
      <c r="M107" s="15">
        <f t="shared" si="125"/>
        <v>-0.36278011504110608</v>
      </c>
      <c r="N107" s="15">
        <f t="shared" si="125"/>
        <v>0.20933002743700557</v>
      </c>
      <c r="O107" s="15">
        <f t="shared" si="125"/>
        <v>-0.95732894849008021</v>
      </c>
      <c r="P107" s="15">
        <f t="shared" si="125"/>
        <v>-1.3427722668223172</v>
      </c>
      <c r="Q107" s="15">
        <f t="shared" si="125"/>
        <v>-113.76164002779709</v>
      </c>
      <c r="R107" s="15">
        <f t="shared" si="125"/>
        <v>1.1810654242469063</v>
      </c>
      <c r="S107" s="15">
        <f t="shared" si="125"/>
        <v>-0.70391095549017768</v>
      </c>
      <c r="T107" s="15">
        <f t="shared" si="125"/>
        <v>0.60202656019177692</v>
      </c>
      <c r="U107" s="15">
        <f t="shared" si="125"/>
        <v>-0.20896054059656721</v>
      </c>
      <c r="V107" s="15">
        <f t="shared" si="125"/>
        <v>1.4891065011581777</v>
      </c>
      <c r="W107" s="15">
        <f t="shared" si="125"/>
        <v>-0.18849012102605311</v>
      </c>
      <c r="X107" s="15">
        <f t="shared" si="125"/>
        <v>7.4125548768849026E-2</v>
      </c>
      <c r="Y107" s="15">
        <f t="shared" si="125"/>
        <v>0.7098431209218381</v>
      </c>
      <c r="Z107" s="15">
        <f t="shared" si="125"/>
        <v>-2.9514452744397568E-2</v>
      </c>
      <c r="AA107" s="15">
        <f t="shared" si="125"/>
        <v>0.51717213971972398</v>
      </c>
      <c r="AB107" s="15">
        <f t="shared" si="125"/>
        <v>1.7311955442814604</v>
      </c>
      <c r="AC107" s="15">
        <f t="shared" si="125"/>
        <v>-0.2764120942910504</v>
      </c>
      <c r="AD107" s="37">
        <v>6586000000</v>
      </c>
      <c r="AE107" s="37">
        <v>8547000000</v>
      </c>
      <c r="AF107" s="37">
        <v>10951000000</v>
      </c>
      <c r="AG107" s="37">
        <v>13796000000</v>
      </c>
      <c r="AH107" s="37">
        <v>14728000000</v>
      </c>
      <c r="AI107" s="26" t="s">
        <v>165</v>
      </c>
      <c r="AJ107" s="59" t="s">
        <v>141</v>
      </c>
      <c r="AK107" s="60">
        <f>(SUM(AD5:AH5)/5)</f>
        <v>0.15471991194542833</v>
      </c>
    </row>
    <row r="108" spans="1:37" ht="20" customHeight="1" x14ac:dyDescent="0.25">
      <c r="A108" s="40" t="s">
        <v>163</v>
      </c>
      <c r="B108" s="1">
        <v>13726416</v>
      </c>
      <c r="C108" s="1">
        <v>2731798</v>
      </c>
      <c r="D108" s="1">
        <v>-56909034</v>
      </c>
      <c r="E108" s="1">
        <v>-151347150</v>
      </c>
      <c r="F108" s="1">
        <v>-71751638</v>
      </c>
      <c r="G108" s="1">
        <v>53445689</v>
      </c>
      <c r="H108" s="1">
        <v>-583300299</v>
      </c>
      <c r="I108" s="1">
        <v>-192610485</v>
      </c>
      <c r="J108" s="1">
        <v>437128602</v>
      </c>
      <c r="K108" s="1">
        <v>176157246</v>
      </c>
      <c r="L108" s="1">
        <v>638348174</v>
      </c>
      <c r="M108" s="1">
        <v>406768150</v>
      </c>
      <c r="N108" s="1">
        <v>491916938</v>
      </c>
      <c r="O108" s="1">
        <v>20990613</v>
      </c>
      <c r="P108" s="1">
        <v>-7195000</v>
      </c>
      <c r="Q108" s="1">
        <v>811320000</v>
      </c>
      <c r="R108" s="1">
        <v>1769542000</v>
      </c>
      <c r="S108" s="1">
        <v>523942000</v>
      </c>
      <c r="T108" s="1">
        <v>839369000</v>
      </c>
      <c r="U108" s="1">
        <v>663974000</v>
      </c>
      <c r="V108" s="1">
        <v>1652702000</v>
      </c>
      <c r="W108" s="1">
        <v>1341184000</v>
      </c>
      <c r="X108" s="1">
        <v>1440600000</v>
      </c>
      <c r="Y108" s="1">
        <v>2463200000</v>
      </c>
      <c r="Z108" s="1">
        <v>2390500000</v>
      </c>
      <c r="AA108" s="1">
        <v>3626800000</v>
      </c>
      <c r="AB108" s="1">
        <v>9905500000</v>
      </c>
      <c r="AC108" s="1">
        <v>7167500000</v>
      </c>
      <c r="AD108" s="26"/>
      <c r="AE108" s="26"/>
      <c r="AF108" s="26"/>
      <c r="AG108" s="26"/>
      <c r="AH108" s="25">
        <f>AH106*(1+AK108)/(AK109-AK108)</f>
        <v>187011768062.20773</v>
      </c>
      <c r="AI108" s="27" t="s">
        <v>142</v>
      </c>
      <c r="AJ108" s="61" t="s">
        <v>143</v>
      </c>
      <c r="AK108" s="62">
        <v>2.5000000000000001E-2</v>
      </c>
    </row>
    <row r="109" spans="1:37" ht="19" x14ac:dyDescent="0.25">
      <c r="AD109" s="25">
        <f t="shared" ref="AD109:AG109" si="126">AD108+AD106</f>
        <v>8391464773.4071131</v>
      </c>
      <c r="AE109" s="25">
        <f t="shared" si="126"/>
        <v>9689791464.2418251</v>
      </c>
      <c r="AF109" s="25">
        <f t="shared" si="126"/>
        <v>11188995146.358883</v>
      </c>
      <c r="AG109" s="25">
        <f t="shared" si="126"/>
        <v>12920155490.161354</v>
      </c>
      <c r="AH109" s="25">
        <f>AH108+AH106</f>
        <v>201930928872.12808</v>
      </c>
      <c r="AI109" s="27" t="s">
        <v>135</v>
      </c>
      <c r="AJ109" s="63" t="s">
        <v>144</v>
      </c>
      <c r="AK109" s="60">
        <f>AK105</f>
        <v>0.10677100290865964</v>
      </c>
    </row>
    <row r="110" spans="1:37" ht="19" x14ac:dyDescent="0.25">
      <c r="AD110" s="66" t="s">
        <v>145</v>
      </c>
      <c r="AE110" s="66"/>
    </row>
    <row r="111" spans="1:37" ht="20" x14ac:dyDescent="0.25">
      <c r="AD111" s="43" t="s">
        <v>146</v>
      </c>
      <c r="AE111" s="44">
        <f>NPV(AK109,AD109,AE109,AF109,AG109,AH109)</f>
        <v>153950633032.62112</v>
      </c>
    </row>
    <row r="112" spans="1:37" ht="20" x14ac:dyDescent="0.25">
      <c r="AD112" s="43" t="s">
        <v>147</v>
      </c>
      <c r="AE112" s="44">
        <f>AC41</f>
        <v>7376000000</v>
      </c>
    </row>
    <row r="113" spans="30:31" ht="20" x14ac:dyDescent="0.25">
      <c r="AD113" s="43" t="s">
        <v>131</v>
      </c>
      <c r="AE113" s="44">
        <f>AK99</f>
        <v>3514200000</v>
      </c>
    </row>
    <row r="114" spans="30:31" ht="20" x14ac:dyDescent="0.25">
      <c r="AD114" s="43" t="s">
        <v>148</v>
      </c>
      <c r="AE114" s="44">
        <f>AE111+AE112-AE113</f>
        <v>157812433032.62112</v>
      </c>
    </row>
    <row r="115" spans="30:31" ht="20" x14ac:dyDescent="0.25">
      <c r="AD115" s="43" t="s">
        <v>149</v>
      </c>
      <c r="AE115" s="43">
        <f>AC35*(1+(5*AI17))</f>
        <v>389882549.20781785</v>
      </c>
    </row>
    <row r="116" spans="30:31" ht="20" x14ac:dyDescent="0.25">
      <c r="AD116" s="45" t="s">
        <v>150</v>
      </c>
      <c r="AE116" s="46">
        <f>AE114/AE115</f>
        <v>404.76916279857107</v>
      </c>
    </row>
    <row r="117" spans="30:31" ht="20" x14ac:dyDescent="0.25">
      <c r="AD117" s="43" t="s">
        <v>151</v>
      </c>
      <c r="AE117" s="47" cm="1">
        <f t="array" ref="AE117">_FV(A1,"Price")</f>
        <v>640.4</v>
      </c>
    </row>
    <row r="118" spans="30:31" ht="20" x14ac:dyDescent="0.25">
      <c r="AD118" s="45" t="s">
        <v>152</v>
      </c>
      <c r="AE118" s="48">
        <f>AE116/AE117-1</f>
        <v>-0.36794321861559798</v>
      </c>
    </row>
    <row r="119" spans="30:31" ht="20" x14ac:dyDescent="0.25">
      <c r="AD119" s="45" t="s">
        <v>153</v>
      </c>
      <c r="AE119" s="49" t="str">
        <f>IF(AE116&gt;AE117,"BUY","SELL")</f>
        <v>SELL</v>
      </c>
    </row>
  </sheetData>
  <mergeCells count="7">
    <mergeCell ref="AJ104:AK104"/>
    <mergeCell ref="AJ106:AK106"/>
    <mergeCell ref="AD110:AE110"/>
    <mergeCell ref="AJ83:AK83"/>
    <mergeCell ref="AJ84:AK84"/>
    <mergeCell ref="AJ93:AK93"/>
    <mergeCell ref="AJ98:AK98"/>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 ref="AI107" r:id="rId60" xr:uid="{A226C403-6D66-F445-845F-7758BD692BB5}"/>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2023-02-07T13:34:36Z</dcterms:created>
  <dcterms:modified xsi:type="dcterms:W3CDTF">2023-07-09T11:30:34Z</dcterms:modified>
</cp:coreProperties>
</file>