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0EEA600-8335-D247-AF0B-FA902A8655D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4" i="1" l="1"/>
  <c r="X94" i="1"/>
  <c r="Q108" i="1"/>
  <c r="R108" i="1"/>
  <c r="S108" i="1"/>
  <c r="T108"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22" i="1" l="1"/>
  <c r="Y22" i="1"/>
  <c r="X97" i="1"/>
  <c r="W19" i="1"/>
  <c r="X106" i="1"/>
  <c r="Y16" i="1"/>
  <c r="X16" i="1"/>
  <c r="W16" i="1"/>
  <c r="X103" i="1"/>
  <c r="X100" i="1" s="1"/>
  <c r="Y19" i="1" l="1"/>
  <c r="Q105" i="1"/>
  <c r="R105" i="1" s="1"/>
  <c r="S105" i="1" s="1"/>
  <c r="T105" i="1" s="1"/>
  <c r="U105" i="1" s="1"/>
  <c r="X102" i="1"/>
  <c r="X105" i="1" s="1"/>
  <c r="X108" i="1" s="1"/>
  <c r="U107" i="1" l="1"/>
  <c r="U108" i="1" s="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<sst xmlns="http://schemas.openxmlformats.org/spreadsheetml/2006/main" count="566" uniqueCount="168">
  <si>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</si>
  <si>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</si>
  <si>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</si>
  <si>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</si>
  <si>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</si>
  <si>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</si>
  <si>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</si>
  <si>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</si>
  <si>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</si>
  <si>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</si>
  <si>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</si>
  <si>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</si>
  <si>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</si>
  <si>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</si>
  <si>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</si>
  <si>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</si>
  <si>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</si>
  <si>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</si>
  <si>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</si>
  <si>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</si>
  <si>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</si>
  <si>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</si>
  <si>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</si>
  <si>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</si>
  <si>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</si>
  <si>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</si>
  <si>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</si>
  <si>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</si>
  <si>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</si>
  <si>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</si>
  <si>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</si>
  <si>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</si>
  <si>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</si>
  <si>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</si>
  <si>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</si>
  <si>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</si>
  <si>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</si>
  <si>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</si>
  <si>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</si>
  <si>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</si>
  <si>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</si>
  <si>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</si>
  <si>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</si>
  <si>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</si>
  <si>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</si>
  <si>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</si>
  <si>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</si>
  <si>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</si>
  <si>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</si>
  <si>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</si>
  <si>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</si>
  <si>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</si>
  <si>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</si>
  <si>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</si>
  <si>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</si>
  <si>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</si>
  <si>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</si>
  <si>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</si>
  <si>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</si>
  <si>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</si>
  <si>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</si>
  <si>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</si>
  <si>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</si>
  <si>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</si>
  <si>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</si>
  <si>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</si>
  <si>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</si>
  <si>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</si>
  <si>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</si>
  <si>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</si>
  <si>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</si>
  <si>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</si>
  <si>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</si>
  <si>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</si>
  <si>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</si>
  <si>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</si>
  <si>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</si>
  <si>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</si>
  <si>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</si>
  <si>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</si>
  <si>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</si>
  <si>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</si>
  <si>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</si>
  <si>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</si>
  <si>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</si>
  <si>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</si>
  <si>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</si>
  <si>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</si>
  <si>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</si>
  <si>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</si>
  <si>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</si>
  <si>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</si>
  <si>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</si>
  <si>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</si>
  <si>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</si>
  <si>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</si>
  <si>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</si>
  <si>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</si>
  <si>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</si>
  <si>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</si>
  <si>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</si>
  <si>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</si>
  <si>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</si>
  <si>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</si>
  <si>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</si>
  <si>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</si>
  <si>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</si>
  <si>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</si>
  <si>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</si>
  <si>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</si>
  <si>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</si>
  <si>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</si>
  <si>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</si>
  <si>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</si>
  <si>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</si>
  <si>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</si>
  <si>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</si>
  <si>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</si>
  <si>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</si>
  <si>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</si>
  <si>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</si>
  <si>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</si>
  <si>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</si>
  <si>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</si>
  <si>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</si>
  <si>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</si>
  <si>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</si>
  <si>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</si>
  <si>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</si>
  <si>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</si>
  <si>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</si>
  <si>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</si>
  <si>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</si>
  <si>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</si>
  <si>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</si>
  <si>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</si>
  <si>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</si>
  <si>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</si>
  <si>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</si>
  <si>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</si>
  <si>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</si>
  <si>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</si>
  <si>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</si>
  <si>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</si>
  <si>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</si>
  <si>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</si>
  <si>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</si>
  <si>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</si>
  <si>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</si>
  <si>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</si>
  <si>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</si>
  <si>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</si>
  <si>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</si>
  <si>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</si>
  <si>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</si>
  <si>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</si>
  <si>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</si>
  <si>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</si>
  <si>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</si>
  <si>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</si>
  <si>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</si>
  <si>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</si>
  <si>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</si>
  <si>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</si>
  <si>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Dividend Yield</t>
  </si>
  <si>
    <t>FCF Yield</t>
  </si>
  <si>
    <t>Shares (5% dilution)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</si>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</sst>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2"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Enphase Energy</a:t>
            </a:r>
          </a:p>
        </c:rich>
      </c:tx>
      <c:layout>
        <c:manualLayout>
          <c:xMode val="edge"/>
          <c:yMode val="edge"/>
          <c:x val="0.37852312666214738"/>
          <c:y val="3.16206484267724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6374775925802548"/>
          <c:w val="0.86976158940397341"/>
          <c:h val="0.6520061932013100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1'!$C$107:$P$107</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1907754080408823"/>
          <c:y val="0.90118517999503145"/>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127</xdr:row>
      <xdr:rowOff>31750</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1.4774</v>
    <v>4.79</v>
    <v>2.9681000000000003E-2</v>
    <v>0.71</v>
    <v>4.2729999999999999E-3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169.5</v>
    <v>Renewable Energy</v>
    <v>Stock</v>
    <v>45114.999959941408</v>
    <v>0</v>
    <v>162.28899999999999</v>
    <v>22772560000</v>
    <v>ENPHASE ENERGY, INC.</v>
    <v>ENPHASE ENERGY, INC.</v>
    <v>162.53</v>
    <v>47.663800000000002</v>
    <v>161.38</v>
    <v>166.17</v>
    <v>166.88</v>
    <v>137043700</v>
    <v>ENPH</v>
    <v>ENPHASE ENERGY, INC. (XNAS:ENPH)</v>
    <v>3292162</v>
    <v>3362053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M92" activePane="bottomRight" state="frozen"/>
      <selection pane="topRight"/>
      <selection pane="bottomLeft"/>
      <selection pane="bottomRight" activeCell="R101" sqref="R101"/>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3">
        <v>2023</v>
      </c>
      <c r="R1" s="23">
        <v>2024</v>
      </c>
      <c r="S1" s="23">
        <v>2025</v>
      </c>
      <c r="T1" s="23">
        <v>2026</v>
      </c>
      <c r="U1" s="23">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4">
        <v>3056000000</v>
      </c>
      <c r="R3" s="24">
        <v>3802000000</v>
      </c>
      <c r="S3" s="24">
        <v>4726000000</v>
      </c>
      <c r="T3" s="24">
        <v>5427000000</v>
      </c>
      <c r="U3" s="24">
        <v>5883000000</v>
      </c>
      <c r="V3" s="18" t="s">
        <v>108</v>
      </c>
      <c r="W3" s="19" t="s">
        <v>109</v>
      </c>
      <c r="X3" s="19" t="s">
        <v>110</v>
      </c>
      <c r="Y3" s="19" t="s">
        <v>111</v>
      </c>
    </row>
    <row r="4" spans="1:25" ht="19" x14ac:dyDescent="0.25">
      <c r="A4" s="14" t="s">
        <v>93</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0.31110799351138829</v>
      </c>
      <c r="R4" s="16">
        <f t="shared" si="0"/>
        <v>0.24410994764397898</v>
      </c>
      <c r="S4" s="16">
        <f t="shared" si="0"/>
        <v>0.24302998421883215</v>
      </c>
      <c r="T4" s="16">
        <f t="shared" si="0"/>
        <v>0.14832839610664417</v>
      </c>
      <c r="U4" s="16">
        <f t="shared" si="0"/>
        <v>8.4024322830293041E-2</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5">
        <f>(P35+O35+N35+M35+L35)/5</f>
        <v>0.1270665162250425</v>
      </c>
      <c r="W16" s="34">
        <f>X101/P3</f>
        <v>9.7700541389783062</v>
      </c>
      <c r="X16" s="34">
        <f>X101/P28</f>
        <v>57.309355197527694</v>
      </c>
      <c r="Y16" s="35">
        <f>X101/P107</f>
        <v>32.607972232643256</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30">
        <v>997800000</v>
      </c>
      <c r="R19" s="30">
        <v>1309000000</v>
      </c>
      <c r="S19" s="30">
        <v>1609000000</v>
      </c>
      <c r="T19" s="30">
        <v>1615000000</v>
      </c>
      <c r="U19" s="30">
        <v>1827000000</v>
      </c>
      <c r="V19" s="26">
        <f>P40-P56-P61</f>
        <v>322486000</v>
      </c>
      <c r="W19" s="34">
        <f>X101/Q3</f>
        <v>7.4517539267015707</v>
      </c>
      <c r="X19" s="34">
        <f>X101/Q28</f>
        <v>28.869878296146045</v>
      </c>
      <c r="Y19" s="35">
        <f>X101/Q106</f>
        <v>28.299440785385858</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0.92763543000875148</v>
      </c>
      <c r="R20" s="16">
        <f t="shared" ref="R20" si="5">(R19/Q19)-1</f>
        <v>0.31188614952896376</v>
      </c>
      <c r="S20" s="16">
        <v>0.91</v>
      </c>
      <c r="T20" s="16">
        <f t="shared" ref="T20" si="6">(T19/S19)-1</f>
        <v>3.7290242386576189E-3</v>
      </c>
      <c r="U20" s="16">
        <f t="shared" ref="U20" si="7">(U19/T19)-1</f>
        <v>0.13126934984520133</v>
      </c>
    </row>
    <row r="21" spans="1:25" ht="20"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31">
        <f>Q19/Q3</f>
        <v>0.32650523560209427</v>
      </c>
      <c r="R21" s="31">
        <f t="shared" ref="R21:U21" si="8">R19/R3</f>
        <v>0.34429247764334558</v>
      </c>
      <c r="S21" s="31">
        <f t="shared" si="8"/>
        <v>0.34045704612780364</v>
      </c>
      <c r="T21" s="31">
        <f t="shared" si="8"/>
        <v>0.29758614335728761</v>
      </c>
      <c r="U21" s="31">
        <f t="shared" si="8"/>
        <v>0.31055583885772564</v>
      </c>
      <c r="X21" s="18" t="s">
        <v>164</v>
      </c>
      <c r="Y21" s="19" t="s">
        <v>165</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c r="X22" s="39">
        <f>(-1*P98)/X101</f>
        <v>0</v>
      </c>
      <c r="Y22" s="40">
        <f>P107/X101</f>
        <v>3.0667347017638773E-2</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32">
        <v>788800000</v>
      </c>
      <c r="R28" s="32">
        <v>1067000000</v>
      </c>
      <c r="S28" s="32">
        <v>1360000000</v>
      </c>
      <c r="T28" s="32">
        <v>1501000000</v>
      </c>
      <c r="U28" s="32">
        <v>1568000000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0.98509167962714095</v>
      </c>
      <c r="R29" s="16">
        <f t="shared" ref="R29" si="11">(R28/Q28)-1</f>
        <v>0.35268762677484777</v>
      </c>
      <c r="S29" s="16">
        <f t="shared" ref="S29" si="12">(S28/R28)-1</f>
        <v>0.27460168697282095</v>
      </c>
      <c r="T29" s="16">
        <f t="shared" ref="T29" si="13">(T28/S28)-1</f>
        <v>0.10367647058823537</v>
      </c>
      <c r="U29" s="16">
        <f t="shared" ref="U29" si="14">(U28/T28)-1</f>
        <v>4.4636908727514912E-2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31">
        <f>Q28/Q3</f>
        <v>0.2581151832460733</v>
      </c>
      <c r="R30" s="31">
        <f t="shared" ref="R30:U30" si="15">R28/R3</f>
        <v>0.28064176749079434</v>
      </c>
      <c r="S30" s="31">
        <f t="shared" si="15"/>
        <v>0.28776978417266186</v>
      </c>
      <c r="T30" s="31">
        <f t="shared" si="15"/>
        <v>0.27658006264971441</v>
      </c>
      <c r="U30" s="31">
        <f t="shared" si="15"/>
        <v>0.26653068162502125</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33">
        <v>5.76</v>
      </c>
      <c r="R31" s="33">
        <v>7.79</v>
      </c>
      <c r="S31" s="33">
        <v>9.93</v>
      </c>
      <c r="T31" s="33">
        <v>10.95</v>
      </c>
      <c r="U31" s="33">
        <v>11.44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3" t="s">
        <v>125</v>
      </c>
      <c r="X83" s="64"/>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5" t="s">
        <v>126</v>
      </c>
      <c r="X84" s="65"/>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41" t="s">
        <v>127</v>
      </c>
      <c r="X85" s="42">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41" t="s">
        <v>128</v>
      </c>
      <c r="X86" s="42">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41" t="s">
        <v>129</v>
      </c>
      <c r="X87" s="42">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43" t="s">
        <v>130</v>
      </c>
      <c r="X88" s="44">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41" t="s">
        <v>105</v>
      </c>
      <c r="X89" s="42">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41" t="s">
        <v>19</v>
      </c>
      <c r="X90" s="42">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43" t="s">
        <v>131</v>
      </c>
      <c r="X91" s="44">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43" t="s">
        <v>132</v>
      </c>
      <c r="X92" s="44">
        <f>X88*(1-X91)</f>
        <v>6.4294211068172897E-3</v>
      </c>
    </row>
    <row r="93" spans="1:24" ht="19"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66" t="s">
        <v>133</v>
      </c>
      <c r="X93" s="66"/>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41" t="s">
        <v>134</v>
      </c>
      <c r="X94" s="45">
        <f>[1]Treasuries!$C$8</f>
        <v>4.0410000000000001E-2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41" t="s">
        <v>135</v>
      </c>
      <c r="X95" s="46" cm="1">
        <f t="array" ref="X95">_FV(A1,"Beta")</f>
        <v>1.4774</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41" t="s">
        <v>136</v>
      </c>
      <c r="X96" s="4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S97" t="s">
        <v>167</v>
      </c>
      <c r="W97" s="43" t="s">
        <v>137</v>
      </c>
      <c r="X97" s="44">
        <f>(X94)+((X95)*(X96-X94))</f>
        <v>0.10480986600000002</v>
      </c>
    </row>
    <row r="98" spans="1:2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66" t="s">
        <v>138</v>
      </c>
      <c r="X98" s="66"/>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41" t="s">
        <v>139</v>
      </c>
      <c r="X99" s="42">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43" t="s">
        <v>140</v>
      </c>
      <c r="X100" s="44">
        <f>X99/X103</f>
        <v>5.3624296671928841E-2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41" t="s">
        <v>141</v>
      </c>
      <c r="X101" s="47" cm="1">
        <f t="array" ref="X101">_FV(A1,"Market cap",TRUE)</f>
        <v>22772560000</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43" t="s">
        <v>142</v>
      </c>
      <c r="X102" s="44">
        <f>X101/X103</f>
        <v>0.94637570332807119</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43" t="s">
        <v>143</v>
      </c>
      <c r="X103" s="48">
        <f>X99+X101</f>
        <v>24062917000</v>
      </c>
    </row>
    <row r="104" spans="1:24" ht="20"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66" t="s">
        <v>144</v>
      </c>
      <c r="X104" s="66"/>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27">
        <f>P105*(1+$X$106)</f>
        <v>572436828.83834648</v>
      </c>
      <c r="R105" s="27">
        <f t="shared" ref="R105:U105" si="20">Q105*(1+$X$106)</f>
        <v>690427581.76399124</v>
      </c>
      <c r="S105" s="27">
        <f t="shared" si="20"/>
        <v>832738603.88722122</v>
      </c>
      <c r="T105" s="27">
        <f t="shared" si="20"/>
        <v>1004382792.2290066</v>
      </c>
      <c r="U105" s="27">
        <f t="shared" si="20"/>
        <v>1211406302.7902532</v>
      </c>
      <c r="V105" s="28" t="s">
        <v>162</v>
      </c>
      <c r="W105" s="49" t="s">
        <v>107</v>
      </c>
      <c r="X105" s="50">
        <f>(X100*X92)+(X102*X97)</f>
        <v>9.9534283836331644E-2</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37">
        <v>804700000</v>
      </c>
      <c r="R106" s="37">
        <v>1085000000</v>
      </c>
      <c r="S106" s="37">
        <v>1330000000</v>
      </c>
      <c r="T106" s="37">
        <v>1372000000</v>
      </c>
      <c r="U106" s="37">
        <v>1580000000</v>
      </c>
      <c r="V106" s="28" t="s">
        <v>163</v>
      </c>
      <c r="W106" s="51" t="s">
        <v>145</v>
      </c>
      <c r="X106" s="52">
        <f>(SUM(Q4:U4)/5)</f>
        <v>0.20612012886222733</v>
      </c>
    </row>
    <row r="107" spans="1:24" ht="19" x14ac:dyDescent="0.25">
      <c r="A107" s="36"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28"/>
      <c r="R107" s="28"/>
      <c r="S107" s="28"/>
      <c r="T107" s="28"/>
      <c r="U107" s="38">
        <f>U106*(1+X107)/(X108-X107)</f>
        <v>21728256000.369274</v>
      </c>
      <c r="V107" s="29" t="s">
        <v>146</v>
      </c>
      <c r="W107" s="53" t="s">
        <v>147</v>
      </c>
      <c r="X107" s="54">
        <v>2.5000000000000001E-2</v>
      </c>
    </row>
    <row r="108" spans="1:24" ht="19" x14ac:dyDescent="0.25">
      <c r="Q108" s="38">
        <f t="shared" ref="Q108:T108" si="22">Q107+Q106</f>
        <v>804700000</v>
      </c>
      <c r="R108" s="38">
        <f t="shared" si="22"/>
        <v>1085000000</v>
      </c>
      <c r="S108" s="38">
        <f t="shared" si="22"/>
        <v>1330000000</v>
      </c>
      <c r="T108" s="38">
        <f t="shared" si="22"/>
        <v>1372000000</v>
      </c>
      <c r="U108" s="38">
        <f>U107+U106</f>
        <v>23308256000.369274</v>
      </c>
      <c r="V108" s="29" t="s">
        <v>143</v>
      </c>
      <c r="W108" s="55" t="s">
        <v>148</v>
      </c>
      <c r="X108" s="52">
        <f>X105</f>
        <v>9.9534283836331644E-2</v>
      </c>
    </row>
    <row r="109" spans="1:24" ht="19" x14ac:dyDescent="0.25">
      <c r="Q109" s="62" t="s">
        <v>149</v>
      </c>
      <c r="R109" s="62"/>
    </row>
    <row r="110" spans="1:24" ht="20" x14ac:dyDescent="0.25">
      <c r="Q110" s="56" t="s">
        <v>150</v>
      </c>
      <c r="R110" s="47">
        <f>NPV(X108,Q108,R108,S108,T108,U108)</f>
        <v>18071780367.688236</v>
      </c>
    </row>
    <row r="111" spans="1:24" ht="20" x14ac:dyDescent="0.25">
      <c r="Q111" s="56" t="s">
        <v>151</v>
      </c>
      <c r="R111" s="47">
        <f>P40</f>
        <v>1612843000</v>
      </c>
    </row>
    <row r="112" spans="1:24" ht="20" x14ac:dyDescent="0.25">
      <c r="Q112" s="56" t="s">
        <v>139</v>
      </c>
      <c r="R112" s="47">
        <f>X99</f>
        <v>1290357000</v>
      </c>
    </row>
    <row r="113" spans="17:18" ht="20" x14ac:dyDescent="0.25">
      <c r="Q113" s="56" t="s">
        <v>152</v>
      </c>
      <c r="R113" s="47">
        <f>R110+R111-R112</f>
        <v>18394266367.688236</v>
      </c>
    </row>
    <row r="114" spans="17:18" ht="20" x14ac:dyDescent="0.25">
      <c r="Q114" s="56" t="s">
        <v>166</v>
      </c>
      <c r="R114" s="56">
        <f>P34*(1+(0.05*5))</f>
        <v>180487500</v>
      </c>
    </row>
    <row r="115" spans="17:18" ht="20" x14ac:dyDescent="0.25">
      <c r="Q115" s="57" t="s">
        <v>153</v>
      </c>
      <c r="R115" s="58">
        <f>R113/R114</f>
        <v>101.91435067629745</v>
      </c>
    </row>
    <row r="116" spans="17:18" ht="20" x14ac:dyDescent="0.25">
      <c r="Q116" s="56" t="s">
        <v>154</v>
      </c>
      <c r="R116" s="59" cm="1">
        <f t="array" ref="R116">_FV(A1,"Price")</f>
        <v>166.17</v>
      </c>
    </row>
    <row r="117" spans="17:18" ht="20" x14ac:dyDescent="0.25">
      <c r="Q117" s="57" t="s">
        <v>155</v>
      </c>
      <c r="R117" s="60">
        <f>R115/R116-1</f>
        <v>-0.38668622088043902</v>
      </c>
    </row>
    <row r="118" spans="17:18" ht="20" x14ac:dyDescent="0.25">
      <c r="Q118" s="57" t="s">
        <v>156</v>
      </c>
      <c r="R118" s="61"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2023-03-14T06:00:00Z</dcterms:created>
  <dcterms:modified xsi:type="dcterms:W3CDTF">2023-07-09T11:29:35Z</dcterms:modified>
</cp:coreProperties>
</file>