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7F19623-CB0E-4241-96B2-C93F6D1F111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05" i="1"/>
  <c r="L105" i="1" s="1"/>
  <c r="M105" i="1" s="1"/>
  <c r="N105" i="1" s="1"/>
  <c r="J105" i="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R19" i="1" l="1"/>
  <c r="Q22" i="1"/>
  <c r="R22" i="1"/>
  <c r="Q97" i="1"/>
  <c r="Q19" i="1"/>
  <c r="Q106" i="1"/>
  <c r="Q16" i="1"/>
  <c r="P16" i="1"/>
  <c r="Q103" i="1"/>
  <c r="Q100" i="1" s="1"/>
  <c r="R16" i="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<sst xmlns="http://schemas.openxmlformats.org/spreadsheetml/2006/main" count="434" uniqueCount="167">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</sst>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Livent</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590104985244809"/>
          <c:w val="0.84989403973509936"/>
          <c:h val="0.6700526733572289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3497158053918757"/>
          <c:y val="0.8904746964016419"/>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41275</xdr:rowOff>
    </xdr:from>
    <xdr:to>
      <xdr:col>16</xdr:col>
      <xdr:colOff>1587500</xdr:colOff>
      <xdr:row>126</xdr:row>
      <xdr:rowOff>15876</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1.8274999999999999</v>
    <v>0.46</v>
    <v>1.7075E-2</v>
    <v>-0.01</v>
    <v>-3.6499999999999998E-4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27.88</v>
    <v>Chemicals</v>
    <v>Stock</v>
    <v>45114.999920080467</v>
    <v>0</v>
    <v>26.85</v>
    <v>4923448000</v>
    <v>LIVENT CORPORATION</v>
    <v>LIVENT CORPORATION</v>
    <v>26.85</v>
    <v>16.6219</v>
    <v>26.94</v>
    <v>27.4</v>
    <v>27.39</v>
    <v>179687900</v>
    <v>LTHM</v>
    <v>LIVENT CORPORATION (XNYS:LTHM)</v>
    <v>1530583</v>
    <v>2414576</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4" activePane="bottomRight" state="frozen"/>
      <selection pane="topRight"/>
      <selection pane="bottomLeft"/>
      <selection pane="bottomRight" activeCell="L101" sqref="L101"/>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1081000000</v>
      </c>
      <c r="K3" s="24">
        <v>1394000000</v>
      </c>
      <c r="L3" s="24">
        <v>1465000000</v>
      </c>
      <c r="M3" s="24">
        <v>1489000000</v>
      </c>
      <c r="N3" s="24">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32">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(I35+H35+G35+F35+E35)/5</f>
        <v>8.3402160590696592E-2</v>
      </c>
      <c r="P16" s="30">
        <f>Q101/I3</f>
        <v>6.0544121987211019</v>
      </c>
      <c r="Q16" s="30">
        <f>Q101/I28</f>
        <v>18.001638025594151</v>
      </c>
      <c r="R16" s="31">
        <f>Q101/I107</f>
        <v>10.827904112601715</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663800000</v>
      </c>
      <c r="J19" s="33">
        <v>570500000</v>
      </c>
      <c r="K19" s="33">
        <v>670000000</v>
      </c>
      <c r="L19" s="33">
        <v>786000000</v>
      </c>
      <c r="M19" s="33">
        <v>914000000</v>
      </c>
      <c r="N19" s="33">
        <v>1924000000</v>
      </c>
      <c r="O19" s="26">
        <f>I40-I56-I61</f>
        <v>-52900000</v>
      </c>
      <c r="P19" s="30">
        <f>Q101/J3</f>
        <v>4.5545309898242365</v>
      </c>
      <c r="Q19" s="37">
        <f>Q101/J28</f>
        <v>11.53032318501171</v>
      </c>
      <c r="R19" s="31">
        <f>Q101/J106</f>
        <v>125.85501022494887</v>
      </c>
    </row>
    <row r="20" spans="1:18" ht="19" customHeight="1" x14ac:dyDescent="0.25">
      <c r="A20" s="14" t="s">
        <v>100</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8" ht="20" x14ac:dyDescent="0.25">
      <c r="A21" s="5" t="s">
        <v>15</v>
      </c>
      <c r="B21" s="2" t="s">
        <v>91</v>
      </c>
      <c r="C21" s="2">
        <v>0.26240000000000002</v>
      </c>
      <c r="D21" s="2">
        <v>0.24759999999999999</v>
      </c>
      <c r="E21" s="2">
        <v>0.38619999999999999</v>
      </c>
      <c r="F21" s="2">
        <v>0.2026</v>
      </c>
      <c r="G21" s="2">
        <v>1.15E-2</v>
      </c>
      <c r="H21" s="2">
        <v>0.18720000000000001</v>
      </c>
      <c r="I21" s="2">
        <v>0.81630000000000003</v>
      </c>
      <c r="J21" s="34">
        <f t="shared" ref="J21:M21" si="9">J19/J3</f>
        <v>0.52775208140610541</v>
      </c>
      <c r="K21" s="34">
        <f t="shared" si="9"/>
        <v>0.48063127690100432</v>
      </c>
      <c r="L21" s="34">
        <f t="shared" si="9"/>
        <v>0.53651877133105808</v>
      </c>
      <c r="M21" s="34">
        <f t="shared" si="9"/>
        <v>0.61383478844862327</v>
      </c>
      <c r="N21" s="34">
        <f>N19/N3</f>
        <v>0.87613843351548271</v>
      </c>
      <c r="Q21" s="19" t="s">
        <v>165</v>
      </c>
      <c r="R21" s="20" t="s">
        <v>166</v>
      </c>
    </row>
    <row r="22" spans="1:18" ht="19" x14ac:dyDescent="0.25">
      <c r="A22" s="6" t="s">
        <v>16</v>
      </c>
      <c r="B22" s="10" t="s">
        <v>91</v>
      </c>
      <c r="C22" s="10">
        <v>60000000</v>
      </c>
      <c r="D22" s="10">
        <v>110200000</v>
      </c>
      <c r="E22" s="10">
        <v>165100000</v>
      </c>
      <c r="F22" s="10">
        <v>71100000</v>
      </c>
      <c r="G22" s="10">
        <v>-16000000</v>
      </c>
      <c r="H22" s="10">
        <v>31900000</v>
      </c>
      <c r="I22" s="10">
        <v>328400000</v>
      </c>
      <c r="Q22" s="41">
        <f>(-1*I98)/Q101</f>
        <v>0</v>
      </c>
      <c r="R22" s="42">
        <f>I107/Q101</f>
        <v>9.2353976319034956E-2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35">
        <v>427000000</v>
      </c>
      <c r="K28" s="35">
        <v>521000000</v>
      </c>
      <c r="L28" s="35">
        <v>644000000</v>
      </c>
      <c r="M28" s="35">
        <v>687000000</v>
      </c>
      <c r="N28" s="35">
        <v>1698000000</v>
      </c>
    </row>
    <row r="29" spans="1:18" ht="20" customHeight="1" thickTop="1" x14ac:dyDescent="0.25">
      <c r="A29" s="14" t="s">
        <v>101</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6">
        <f>J28/J3</f>
        <v>0.39500462534690101</v>
      </c>
      <c r="K30" s="36">
        <f t="shared" ref="K30:N30" si="16">K28/K3</f>
        <v>0.37374461979913914</v>
      </c>
      <c r="L30" s="36">
        <f t="shared" si="16"/>
        <v>0.4395904436860068</v>
      </c>
      <c r="M30" s="36">
        <f t="shared" si="16"/>
        <v>0.4613834788448623</v>
      </c>
      <c r="N30" s="36">
        <f t="shared" si="16"/>
        <v>0.77322404371584696</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67" t="s">
        <v>123</v>
      </c>
      <c r="Q83" s="68"/>
    </row>
    <row r="84" spans="1:17" ht="19" x14ac:dyDescent="0.25">
      <c r="A84" s="5" t="s">
        <v>47</v>
      </c>
      <c r="B84" s="1" t="s">
        <v>91</v>
      </c>
      <c r="C84" s="1">
        <v>1800000</v>
      </c>
      <c r="D84" s="1">
        <v>32500000</v>
      </c>
      <c r="E84" s="1">
        <v>13800000</v>
      </c>
      <c r="F84" s="1">
        <v>10800000</v>
      </c>
      <c r="G84" s="1">
        <v>-39800000</v>
      </c>
      <c r="H84" s="1">
        <v>20900000</v>
      </c>
      <c r="I84" s="1">
        <v>18900000</v>
      </c>
      <c r="P84" s="69" t="s">
        <v>124</v>
      </c>
      <c r="Q84" s="69"/>
    </row>
    <row r="85" spans="1:17" ht="20" x14ac:dyDescent="0.25">
      <c r="A85" s="5" t="s">
        <v>71</v>
      </c>
      <c r="B85" s="1" t="s">
        <v>91</v>
      </c>
      <c r="C85" s="1">
        <v>-700000</v>
      </c>
      <c r="D85" s="1">
        <v>4400000</v>
      </c>
      <c r="E85" s="1">
        <v>-5200000</v>
      </c>
      <c r="F85" s="1">
        <v>-100000</v>
      </c>
      <c r="G85" s="1">
        <v>-200000</v>
      </c>
      <c r="H85" s="1">
        <v>4400000</v>
      </c>
      <c r="I85" s="1">
        <v>4400000</v>
      </c>
      <c r="P85" s="50" t="s">
        <v>125</v>
      </c>
      <c r="Q85" s="51">
        <f>I17</f>
        <v>328400000</v>
      </c>
    </row>
    <row r="86" spans="1:17" ht="20" x14ac:dyDescent="0.25">
      <c r="A86" s="5" t="s">
        <v>72</v>
      </c>
      <c r="B86" s="1" t="s">
        <v>91</v>
      </c>
      <c r="C86" s="1">
        <v>6500000</v>
      </c>
      <c r="D86" s="1">
        <v>40200000</v>
      </c>
      <c r="E86" s="1">
        <v>3700000</v>
      </c>
      <c r="F86" s="1">
        <v>3100000</v>
      </c>
      <c r="G86" s="1">
        <v>9300000</v>
      </c>
      <c r="H86" s="1">
        <v>5400000</v>
      </c>
      <c r="I86" s="1">
        <v>5400000</v>
      </c>
      <c r="P86" s="50" t="s">
        <v>126</v>
      </c>
      <c r="Q86" s="51">
        <f>I56</f>
        <v>0</v>
      </c>
    </row>
    <row r="87" spans="1:17" ht="20" x14ac:dyDescent="0.25">
      <c r="A87" s="6" t="s">
        <v>73</v>
      </c>
      <c r="B87" s="10" t="s">
        <v>91</v>
      </c>
      <c r="C87" s="10">
        <v>51000000</v>
      </c>
      <c r="D87" s="10">
        <v>58300000</v>
      </c>
      <c r="E87" s="10">
        <v>92000000</v>
      </c>
      <c r="F87" s="10">
        <v>58100000</v>
      </c>
      <c r="G87" s="10">
        <v>6300000</v>
      </c>
      <c r="H87" s="10">
        <v>26400000</v>
      </c>
      <c r="I87" s="10">
        <v>454700000</v>
      </c>
      <c r="P87" s="50" t="s">
        <v>127</v>
      </c>
      <c r="Q87" s="51">
        <f>I61</f>
        <v>241900000</v>
      </c>
    </row>
    <row r="88" spans="1:17" ht="20" x14ac:dyDescent="0.25">
      <c r="A88" s="5" t="s">
        <v>74</v>
      </c>
      <c r="B88" s="1" t="s">
        <v>91</v>
      </c>
      <c r="C88" s="1">
        <v>-31300000</v>
      </c>
      <c r="D88" s="1">
        <v>-62500000</v>
      </c>
      <c r="E88" s="1">
        <v>-78400000</v>
      </c>
      <c r="F88" s="1">
        <v>-188800000</v>
      </c>
      <c r="G88" s="1">
        <v>-124000000</v>
      </c>
      <c r="H88" s="1">
        <v>-131900000</v>
      </c>
      <c r="I88" s="1">
        <v>-336900000</v>
      </c>
      <c r="P88" s="52" t="s">
        <v>128</v>
      </c>
      <c r="Q88" s="53">
        <f>Q85/(Q86+Q87)</f>
        <v>1.3575857792476229</v>
      </c>
    </row>
    <row r="89" spans="1:17" ht="20" customHeight="1" x14ac:dyDescent="0.25">
      <c r="A89" s="14" t="s">
        <v>104</v>
      </c>
      <c r="B89" s="15" t="e">
        <f t="shared" ref="B89:I89" si="19">(-1*B88)/B3</f>
        <v>#VALUE!</v>
      </c>
      <c r="C89" s="15">
        <f t="shared" si="19"/>
        <v>0.11851571374479364</v>
      </c>
      <c r="D89" s="15">
        <f t="shared" si="19"/>
        <v>0.17990788716177317</v>
      </c>
      <c r="E89" s="15">
        <f t="shared" si="19"/>
        <v>0.17717514124293784</v>
      </c>
      <c r="F89" s="15">
        <f t="shared" si="19"/>
        <v>0.48609680741503603</v>
      </c>
      <c r="G89" s="15">
        <f t="shared" si="19"/>
        <v>0.43025676613462871</v>
      </c>
      <c r="H89" s="15">
        <f t="shared" si="19"/>
        <v>0.31374881065651761</v>
      </c>
      <c r="I89" s="15">
        <f t="shared" si="19"/>
        <v>0.41428922774225285</v>
      </c>
      <c r="J89" s="15"/>
      <c r="K89" s="15"/>
      <c r="L89" s="15"/>
      <c r="M89" s="15"/>
      <c r="N89" s="15"/>
      <c r="O89" s="15"/>
      <c r="P89" s="50" t="s">
        <v>105</v>
      </c>
      <c r="Q89" s="51">
        <f>I27</f>
        <v>61900000</v>
      </c>
    </row>
    <row r="90" spans="1:17" ht="20" x14ac:dyDescent="0.25">
      <c r="A90" s="5" t="s">
        <v>75</v>
      </c>
      <c r="B90" s="1" t="s">
        <v>91</v>
      </c>
      <c r="C90" s="1" t="s">
        <v>91</v>
      </c>
      <c r="D90" s="1" t="s">
        <v>91</v>
      </c>
      <c r="E90" s="1" t="s">
        <v>91</v>
      </c>
      <c r="F90" s="1">
        <v>-800000</v>
      </c>
      <c r="G90" s="1">
        <v>-15000000</v>
      </c>
      <c r="H90" s="1">
        <v>-8000000</v>
      </c>
      <c r="I90" s="1">
        <v>-47100000</v>
      </c>
      <c r="P90" s="50" t="s">
        <v>19</v>
      </c>
      <c r="Q90" s="51">
        <f>I25</f>
        <v>335400000</v>
      </c>
    </row>
    <row r="91" spans="1:17" ht="20" x14ac:dyDescent="0.25">
      <c r="A91" s="5" t="s">
        <v>76</v>
      </c>
      <c r="B91" s="1" t="s">
        <v>91</v>
      </c>
      <c r="C91" s="1" t="s">
        <v>91</v>
      </c>
      <c r="D91" s="1" t="s">
        <v>91</v>
      </c>
      <c r="E91" s="1" t="s">
        <v>91</v>
      </c>
      <c r="F91" s="1">
        <v>-400000</v>
      </c>
      <c r="G91" s="1" t="s">
        <v>91</v>
      </c>
      <c r="H91" s="1">
        <v>-800000</v>
      </c>
      <c r="I91" s="1" t="s">
        <v>91</v>
      </c>
      <c r="P91" s="52" t="s">
        <v>129</v>
      </c>
      <c r="Q91" s="53">
        <f>Q89/Q90</f>
        <v>0.18455575432319618</v>
      </c>
    </row>
    <row r="92" spans="1:17" ht="20" x14ac:dyDescent="0.25">
      <c r="A92" s="5" t="s">
        <v>77</v>
      </c>
      <c r="B92" s="1" t="s">
        <v>91</v>
      </c>
      <c r="C92" s="1" t="s">
        <v>91</v>
      </c>
      <c r="D92" s="1" t="s">
        <v>91</v>
      </c>
      <c r="E92" s="1" t="s">
        <v>91</v>
      </c>
      <c r="F92" s="1" t="s">
        <v>91</v>
      </c>
      <c r="G92" s="1" t="s">
        <v>91</v>
      </c>
      <c r="H92" s="1" t="s">
        <v>91</v>
      </c>
      <c r="I92" s="1" t="s">
        <v>91</v>
      </c>
      <c r="P92" s="52" t="s">
        <v>130</v>
      </c>
      <c r="Q92" s="53">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69" t="s">
        <v>131</v>
      </c>
      <c r="Q93" s="69"/>
    </row>
    <row r="94" spans="1:17" ht="20" x14ac:dyDescent="0.25">
      <c r="A94" s="6" t="s">
        <v>79</v>
      </c>
      <c r="B94" s="10" t="s">
        <v>91</v>
      </c>
      <c r="C94" s="10">
        <v>-31300000</v>
      </c>
      <c r="D94" s="10">
        <v>-62500000</v>
      </c>
      <c r="E94" s="10">
        <v>-78400000</v>
      </c>
      <c r="F94" s="10">
        <v>-190000000</v>
      </c>
      <c r="G94" s="10">
        <v>-131100000</v>
      </c>
      <c r="H94" s="10">
        <v>-143300000</v>
      </c>
      <c r="I94" s="10">
        <v>-364700000</v>
      </c>
      <c r="P94" s="50" t="s">
        <v>132</v>
      </c>
      <c r="Q94" s="54">
        <f>[1]Treasuries!$C$8</f>
        <v>4.0410000000000001E-2</v>
      </c>
    </row>
    <row r="95" spans="1:17" ht="20" x14ac:dyDescent="0.25">
      <c r="A95" s="5" t="s">
        <v>80</v>
      </c>
      <c r="B95" s="1" t="s">
        <v>91</v>
      </c>
      <c r="C95" s="1">
        <v>-10700000</v>
      </c>
      <c r="D95" s="1" t="s">
        <v>91</v>
      </c>
      <c r="E95" s="1" t="s">
        <v>91</v>
      </c>
      <c r="F95" s="1">
        <v>-111400000</v>
      </c>
      <c r="G95" s="1">
        <v>-296400000</v>
      </c>
      <c r="H95" s="1">
        <v>-75100000</v>
      </c>
      <c r="I95" s="1">
        <v>-13000000</v>
      </c>
      <c r="P95" s="55" t="s">
        <v>133</v>
      </c>
      <c r="Q95" s="56" cm="1">
        <f t="array" ref="Q95">_FV(A1,"Beta")</f>
        <v>1.8274999999999999</v>
      </c>
    </row>
    <row r="96" spans="1:17" ht="20" x14ac:dyDescent="0.25">
      <c r="A96" s="5" t="s">
        <v>81</v>
      </c>
      <c r="B96" s="1" t="s">
        <v>91</v>
      </c>
      <c r="C96" s="1" t="s">
        <v>91</v>
      </c>
      <c r="D96" s="1" t="s">
        <v>91</v>
      </c>
      <c r="E96" s="1">
        <v>368700000</v>
      </c>
      <c r="F96" s="1" t="s">
        <v>91</v>
      </c>
      <c r="G96" s="1" t="s">
        <v>91</v>
      </c>
      <c r="H96" s="1">
        <v>1500000</v>
      </c>
      <c r="I96" s="1">
        <v>3200000</v>
      </c>
      <c r="P96" s="50" t="s">
        <v>134</v>
      </c>
      <c r="Q96" s="57">
        <v>8.4000000000000005E-2</v>
      </c>
    </row>
    <row r="97" spans="1:17" ht="20" x14ac:dyDescent="0.25">
      <c r="A97" s="5" t="s">
        <v>82</v>
      </c>
      <c r="B97" s="1" t="s">
        <v>91</v>
      </c>
      <c r="C97" s="1" t="s">
        <v>91</v>
      </c>
      <c r="D97" s="1" t="s">
        <v>91</v>
      </c>
      <c r="E97" s="1" t="s">
        <v>91</v>
      </c>
      <c r="F97" s="1" t="s">
        <v>91</v>
      </c>
      <c r="G97" s="1" t="s">
        <v>91</v>
      </c>
      <c r="H97" s="1">
        <v>-100000</v>
      </c>
      <c r="I97" s="1" t="s">
        <v>91</v>
      </c>
      <c r="P97" s="52" t="s">
        <v>135</v>
      </c>
      <c r="Q97" s="53">
        <f>(Q94)+((Q95)*(Q96-Q94))</f>
        <v>0.120070725</v>
      </c>
    </row>
    <row r="98" spans="1:17" ht="19" x14ac:dyDescent="0.25">
      <c r="A98" s="5" t="s">
        <v>83</v>
      </c>
      <c r="B98" s="1" t="s">
        <v>91</v>
      </c>
      <c r="C98" s="1" t="s">
        <v>91</v>
      </c>
      <c r="D98" s="1" t="s">
        <v>91</v>
      </c>
      <c r="E98" s="1">
        <v>-365700000</v>
      </c>
      <c r="F98" s="1" t="s">
        <v>91</v>
      </c>
      <c r="G98" s="1" t="s">
        <v>91</v>
      </c>
      <c r="H98" s="1" t="s">
        <v>91</v>
      </c>
      <c r="I98" s="1">
        <v>0</v>
      </c>
      <c r="P98" s="69" t="s">
        <v>136</v>
      </c>
      <c r="Q98" s="69"/>
    </row>
    <row r="99" spans="1:17" ht="20" x14ac:dyDescent="0.25">
      <c r="A99" s="5" t="s">
        <v>84</v>
      </c>
      <c r="B99" s="1" t="s">
        <v>91</v>
      </c>
      <c r="C99" s="1">
        <v>-7900000</v>
      </c>
      <c r="D99" s="1">
        <v>1500000</v>
      </c>
      <c r="E99" s="1">
        <v>10000000</v>
      </c>
      <c r="F99" s="1">
        <v>231900000</v>
      </c>
      <c r="G99" s="1">
        <v>119100000</v>
      </c>
      <c r="H99" s="1">
        <v>291700000</v>
      </c>
      <c r="I99" s="1">
        <v>-12500000</v>
      </c>
      <c r="P99" s="50" t="s">
        <v>137</v>
      </c>
      <c r="Q99" s="51">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52" t="s">
        <v>138</v>
      </c>
      <c r="Q100" s="53">
        <f>Q99/Q103</f>
        <v>4.6831307396907239E-2</v>
      </c>
    </row>
    <row r="101" spans="1:17" ht="20" x14ac:dyDescent="0.25">
      <c r="A101" s="5" t="s">
        <v>86</v>
      </c>
      <c r="B101" s="1" t="s">
        <v>91</v>
      </c>
      <c r="C101" s="1" t="s">
        <v>91</v>
      </c>
      <c r="D101" s="1">
        <v>-100000</v>
      </c>
      <c r="E101" s="1">
        <v>500000</v>
      </c>
      <c r="F101" s="1">
        <v>-100000</v>
      </c>
      <c r="G101" s="1">
        <v>500000</v>
      </c>
      <c r="H101" s="1">
        <v>300000</v>
      </c>
      <c r="I101" s="1" t="s">
        <v>91</v>
      </c>
      <c r="P101" s="55" t="s">
        <v>139</v>
      </c>
      <c r="Q101" s="44" cm="1">
        <f t="array" ref="Q101">_FV(A1,"Market cap",TRUE)</f>
        <v>4923448000</v>
      </c>
    </row>
    <row r="102" spans="1:17" ht="20" x14ac:dyDescent="0.25">
      <c r="A102" s="6" t="s">
        <v>87</v>
      </c>
      <c r="B102" s="10" t="s">
        <v>91</v>
      </c>
      <c r="C102" s="10">
        <v>1100000</v>
      </c>
      <c r="D102" s="10">
        <v>-2800000</v>
      </c>
      <c r="E102" s="10">
        <v>27100000</v>
      </c>
      <c r="F102" s="10">
        <v>-11500000</v>
      </c>
      <c r="G102" s="10">
        <v>-5200000</v>
      </c>
      <c r="H102" s="10">
        <v>101400000</v>
      </c>
      <c r="I102" s="10">
        <v>76000000</v>
      </c>
      <c r="P102" s="52" t="s">
        <v>140</v>
      </c>
      <c r="Q102" s="53">
        <f>Q101/Q103</f>
        <v>0.95316869260309278</v>
      </c>
    </row>
    <row r="103" spans="1:17" ht="20" x14ac:dyDescent="0.25">
      <c r="A103" s="5" t="s">
        <v>88</v>
      </c>
      <c r="B103" s="1" t="s">
        <v>91</v>
      </c>
      <c r="C103" s="1">
        <v>2900000</v>
      </c>
      <c r="D103" s="1">
        <v>4000000</v>
      </c>
      <c r="E103" s="1">
        <v>1200000</v>
      </c>
      <c r="F103" s="1">
        <v>28300000</v>
      </c>
      <c r="G103" s="1">
        <v>16800000</v>
      </c>
      <c r="H103" s="1">
        <v>11600000</v>
      </c>
      <c r="I103" s="1">
        <v>113000000</v>
      </c>
      <c r="P103" s="52" t="s">
        <v>141</v>
      </c>
      <c r="Q103" s="58">
        <f>Q99+Q101</f>
        <v>5165348000</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69" t="s">
        <v>142</v>
      </c>
      <c r="Q104" s="69"/>
    </row>
    <row r="105" spans="1:17" ht="21" thickTop="1" x14ac:dyDescent="0.25">
      <c r="A105" s="14" t="s">
        <v>161</v>
      </c>
      <c r="C105" s="1">
        <f t="shared" ref="C105:H105" si="20">(C22*(1-$Q$91))+C77+C88+C81</f>
        <v>12526654.74060823</v>
      </c>
      <c r="D105" s="1">
        <f t="shared" si="20"/>
        <v>561955.87358377874</v>
      </c>
      <c r="E105" s="1">
        <f t="shared" si="20"/>
        <v>17129844.961240321</v>
      </c>
      <c r="F105" s="1">
        <f t="shared" si="20"/>
        <v>-129421914.13237925</v>
      </c>
      <c r="G105" s="1">
        <f t="shared" si="20"/>
        <v>-118147107.93082887</v>
      </c>
      <c r="H105" s="1">
        <f t="shared" si="20"/>
        <v>-103287328.56290996</v>
      </c>
      <c r="I105" s="1">
        <f>(I22*(1-$Q$91))+I77+I88+I81</f>
        <v>413291890.28026235</v>
      </c>
      <c r="J105" s="27">
        <f>I105*(1+$Q$106)</f>
        <v>509257699.37006921</v>
      </c>
      <c r="K105" s="27">
        <f t="shared" ref="K105:N105" si="21">J105*(1+$Q$106)</f>
        <v>627506637.48042405</v>
      </c>
      <c r="L105" s="27">
        <f t="shared" si="21"/>
        <v>773212816.55448484</v>
      </c>
      <c r="M105" s="27">
        <f t="shared" si="21"/>
        <v>952751770.21975398</v>
      </c>
      <c r="N105" s="27">
        <f t="shared" si="21"/>
        <v>1173979422.2525163</v>
      </c>
      <c r="O105" s="28" t="s">
        <v>162</v>
      </c>
      <c r="P105" s="59" t="s">
        <v>106</v>
      </c>
      <c r="Q105" s="60">
        <f>(Q100*Q92)+(Q102*Q97)</f>
        <v>0.16629157631587696</v>
      </c>
    </row>
    <row r="106" spans="1:17" ht="19" x14ac:dyDescent="0.25">
      <c r="A106" s="14" t="s">
        <v>160</v>
      </c>
      <c r="B106" s="1"/>
      <c r="C106" s="15" t="e">
        <f t="shared" ref="C106:I106" si="22">(C107/B107)-1</f>
        <v>#VALUE!</v>
      </c>
      <c r="D106" s="15">
        <f t="shared" si="22"/>
        <v>-0.62845849802371534</v>
      </c>
      <c r="E106" s="15">
        <f t="shared" si="22"/>
        <v>0.95744680851063824</v>
      </c>
      <c r="F106" s="15">
        <f t="shared" si="22"/>
        <v>-7.8586956521739131</v>
      </c>
      <c r="G106" s="15">
        <f t="shared" si="22"/>
        <v>-1.0499207606973058</v>
      </c>
      <c r="H106" s="15">
        <f t="shared" si="22"/>
        <v>3.1904761904761907</v>
      </c>
      <c r="I106" s="15">
        <f t="shared" si="22"/>
        <v>16.223484848484848</v>
      </c>
      <c r="J106" s="38">
        <v>39120000</v>
      </c>
      <c r="K106" s="38">
        <v>67915000</v>
      </c>
      <c r="L106" s="38">
        <v>266700000</v>
      </c>
      <c r="M106" s="38">
        <v>480900000</v>
      </c>
      <c r="N106" s="38">
        <v>1167000000</v>
      </c>
      <c r="O106" s="28" t="s">
        <v>163</v>
      </c>
      <c r="P106" s="61" t="s">
        <v>143</v>
      </c>
      <c r="Q106" s="62">
        <f>(SUM(J4:N4)/5)</f>
        <v>0.23219862607207306</v>
      </c>
    </row>
    <row r="107" spans="1:17" ht="19" x14ac:dyDescent="0.25">
      <c r="A107" s="40" t="s">
        <v>159</v>
      </c>
      <c r="B107" s="1" t="s">
        <v>91</v>
      </c>
      <c r="C107" s="1">
        <v>25300000</v>
      </c>
      <c r="D107" s="1">
        <v>9400000</v>
      </c>
      <c r="E107" s="1">
        <v>18400000</v>
      </c>
      <c r="F107" s="1">
        <v>-126200000</v>
      </c>
      <c r="G107" s="1">
        <v>6300000</v>
      </c>
      <c r="H107" s="1">
        <v>26400000</v>
      </c>
      <c r="I107" s="1">
        <v>454700000</v>
      </c>
      <c r="J107" s="28"/>
      <c r="K107" s="28"/>
      <c r="L107" s="28"/>
      <c r="M107" s="28"/>
      <c r="N107" s="39">
        <f>N106*(1+Q107)/(Q108-Q107)</f>
        <v>8466003644.3063278</v>
      </c>
      <c r="O107" s="29" t="s">
        <v>144</v>
      </c>
      <c r="P107" s="63" t="s">
        <v>145</v>
      </c>
      <c r="Q107" s="64">
        <v>2.5000000000000001E-2</v>
      </c>
    </row>
    <row r="108" spans="1:17" ht="19" x14ac:dyDescent="0.25">
      <c r="J108" s="39">
        <f t="shared" ref="J108:M108" si="23">J107+J106</f>
        <v>39120000</v>
      </c>
      <c r="K108" s="39">
        <f t="shared" si="23"/>
        <v>67915000</v>
      </c>
      <c r="L108" s="39">
        <f t="shared" si="23"/>
        <v>266700000</v>
      </c>
      <c r="M108" s="39">
        <f t="shared" si="23"/>
        <v>480900000</v>
      </c>
      <c r="N108" s="39">
        <f>N107+N106</f>
        <v>9633003644.3063278</v>
      </c>
      <c r="O108" s="29" t="s">
        <v>141</v>
      </c>
      <c r="P108" s="65" t="s">
        <v>146</v>
      </c>
      <c r="Q108" s="62">
        <f>Q105</f>
        <v>0.16629157631587696</v>
      </c>
    </row>
    <row r="109" spans="1:17" ht="19" x14ac:dyDescent="0.25">
      <c r="J109" s="66" t="s">
        <v>147</v>
      </c>
      <c r="K109" s="66"/>
    </row>
    <row r="110" spans="1:17" ht="20" x14ac:dyDescent="0.25">
      <c r="J110" s="43" t="s">
        <v>148</v>
      </c>
      <c r="K110" s="44">
        <f>NPV(Q108,J108,K108,L108,M108,N108)</f>
        <v>4975515053.8507719</v>
      </c>
    </row>
    <row r="111" spans="1:17" ht="20" x14ac:dyDescent="0.25">
      <c r="J111" s="43" t="s">
        <v>149</v>
      </c>
      <c r="K111" s="44">
        <f>I40</f>
        <v>189000000</v>
      </c>
    </row>
    <row r="112" spans="1:17" ht="20" x14ac:dyDescent="0.25">
      <c r="J112" s="43" t="s">
        <v>137</v>
      </c>
      <c r="K112" s="44">
        <f>Q99</f>
        <v>241900000</v>
      </c>
    </row>
    <row r="113" spans="10:11" ht="20" x14ac:dyDescent="0.25">
      <c r="J113" s="43" t="s">
        <v>150</v>
      </c>
      <c r="K113" s="44">
        <f>K110+K111-K112</f>
        <v>4922615053.8507719</v>
      </c>
    </row>
    <row r="114" spans="10:11" ht="20" x14ac:dyDescent="0.25">
      <c r="J114" s="43" t="s">
        <v>158</v>
      </c>
      <c r="K114" s="43">
        <f>I34*(1+(5*0.05))</f>
        <v>252000000</v>
      </c>
    </row>
    <row r="115" spans="10:11" ht="20" x14ac:dyDescent="0.25">
      <c r="J115" s="45" t="s">
        <v>151</v>
      </c>
      <c r="K115" s="46">
        <f>K113/K114</f>
        <v>19.534186721630046</v>
      </c>
    </row>
    <row r="116" spans="10:11" ht="20" x14ac:dyDescent="0.25">
      <c r="J116" s="43" t="s">
        <v>152</v>
      </c>
      <c r="K116" s="47" cm="1">
        <f t="array" ref="K116">_FV(A1,"Previous close",TRUE)</f>
        <v>26.94</v>
      </c>
    </row>
    <row r="117" spans="10:11" ht="20" x14ac:dyDescent="0.25">
      <c r="J117" s="45" t="s">
        <v>153</v>
      </c>
      <c r="K117" s="48">
        <f>K115/K116-1</f>
        <v>-0.27490027016963459</v>
      </c>
    </row>
    <row r="118" spans="10:11" ht="20" x14ac:dyDescent="0.25">
      <c r="J118" s="45" t="s">
        <v>154</v>
      </c>
      <c r="K118" s="49"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2023-07-09T11:28:57Z</dcterms:modified>
</cp:coreProperties>
</file>