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EE04F05-F679-DD40-92F0-D6456E25874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G4" i="1"/>
  <c r="H4" i="1"/>
  <c r="I4" i="1"/>
  <c r="J4" i="1"/>
  <c r="K4" i="1"/>
  <c r="L4" i="1"/>
  <c r="M4" i="1"/>
  <c r="N4" i="1"/>
  <c r="O4" i="1"/>
  <c r="P4" i="1"/>
  <c r="Q4" i="1"/>
  <c r="R4" i="1"/>
  <c r="S4" i="1"/>
  <c r="T4" i="1"/>
  <c r="U4" i="1"/>
  <c r="V4" i="1"/>
  <c r="W4" i="1"/>
  <c r="X4" i="1"/>
  <c r="Y4" i="1"/>
  <c r="Z4" i="1"/>
  <c r="AF4" i="1" s="1"/>
  <c r="AH94" i="1"/>
  <c r="AA108" i="1"/>
  <c r="AB108" i="1"/>
  <c r="AC108" i="1"/>
  <c r="AD108" i="1"/>
  <c r="AB105" i="1"/>
  <c r="AC105" i="1" s="1"/>
  <c r="AD105" i="1" s="1"/>
  <c r="AE105" i="1" s="1"/>
  <c r="A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30" i="1"/>
  <c r="AC30" i="1"/>
  <c r="AD30" i="1"/>
  <c r="AE30" i="1"/>
  <c r="AA30" i="1"/>
  <c r="AA29" i="1"/>
  <c r="AB29" i="1"/>
  <c r="AC29" i="1"/>
  <c r="AD29" i="1"/>
  <c r="AE29" i="1"/>
  <c r="AB21" i="1"/>
  <c r="AC21" i="1"/>
  <c r="AD21" i="1"/>
  <c r="AE21" i="1"/>
  <c r="AA21" i="1"/>
  <c r="AA20" i="1"/>
  <c r="AB20" i="1"/>
  <c r="AC20" i="1"/>
  <c r="AD20" i="1"/>
  <c r="AE20" i="1"/>
  <c r="AB116" i="1" a="1"/>
  <c r="AB116" i="1" s="1"/>
  <c r="AH19" i="1" s="1"/>
  <c r="AH95" i="1" a="1"/>
  <c r="AH95" i="1" s="1"/>
  <c r="AH101" i="1" a="1"/>
  <c r="AH101" i="1" s="1"/>
  <c r="AB114" i="1"/>
  <c r="AF19" i="1"/>
  <c r="AF16" i="1"/>
  <c r="AI13" i="1"/>
  <c r="AH13" i="1"/>
  <c r="AG13" i="1"/>
  <c r="AF13" i="1"/>
  <c r="AI10" i="1"/>
  <c r="AH10" i="1"/>
  <c r="AG10" i="1"/>
  <c r="AF10" i="1"/>
  <c r="AI7" i="1"/>
  <c r="AH7" i="1"/>
  <c r="AG7" i="1"/>
  <c r="AF7" i="1"/>
  <c r="AH4" i="1"/>
  <c r="AG4" i="1"/>
  <c r="AB111" i="1"/>
  <c r="AH90" i="1"/>
  <c r="AH89" i="1"/>
  <c r="AH91" i="1" s="1"/>
  <c r="AH87" i="1"/>
  <c r="AH86" i="1"/>
  <c r="AH99" i="1" s="1"/>
  <c r="AB112" i="1" s="1"/>
  <c r="AH85" i="1"/>
  <c r="AH88"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AG19" i="1" l="1"/>
  <c r="AH22" i="1"/>
  <c r="AI22" i="1"/>
  <c r="AH97" i="1"/>
  <c r="AI19" i="1"/>
  <c r="AG16" i="1"/>
  <c r="AI16" i="1"/>
  <c r="AH16" i="1"/>
  <c r="AH92" i="1"/>
  <c r="AH106" i="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<sst xmlns="http://schemas.openxmlformats.org/spreadsheetml/2006/main" count="707" uniqueCount="167">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</sst>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164" fontId="1" fillId="5" borderId="8" xfId="0" applyNumberFormat="1" applyFont="1" applyFill="1" applyBorder="1" applyAlignment="1">
      <alignment wrapText="1"/>
    </xf>
    <xf numFmtId="164" fontId="1" fillId="5" borderId="9" xfId="0" applyNumberFormat="1" applyFont="1" applyFill="1" applyBorder="1"/>
    <xf numFmtId="164" fontId="1" fillId="3" borderId="8" xfId="0" applyNumberFormat="1" applyFont="1" applyFill="1" applyBorder="1" applyAlignment="1">
      <alignment wrapText="1"/>
    </xf>
    <xf numFmtId="167" fontId="12" fillId="3" borderId="9" xfId="0" applyNumberFormat="1" applyFont="1" applyFill="1" applyBorder="1"/>
    <xf numFmtId="164" fontId="1" fillId="3" borderId="6" xfId="0" applyNumberFormat="1" applyFont="1" applyFill="1" applyBorder="1" applyAlignment="1">
      <alignment wrapText="1"/>
    </xf>
    <xf numFmtId="9" fontId="12" fillId="3" borderId="7" xfId="1" applyFont="1" applyFill="1" applyBorder="1"/>
    <xf numFmtId="0" fontId="12" fillId="3" borderId="7" xfId="0" applyFont="1" applyFill="1" applyBorder="1" applyAlignment="1">
      <alignment horizontal="right"/>
    </xf>
    <xf numFmtId="0" fontId="12" fillId="7" borderId="12"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13" xfId="0" applyNumberFormat="1" applyFont="1" applyBorder="1" applyAlignment="1">
      <alignment horizontal="center"/>
    </xf>
    <xf numFmtId="9" fontId="11" fillId="0" borderId="7" xfId="0" applyNumberFormat="1" applyFont="1" applyBorder="1" applyAlignment="1">
      <alignment horizontal="center"/>
    </xf>
    <xf numFmtId="164" fontId="1" fillId="0" borderId="12" xfId="0" applyNumberFormat="1" applyFont="1" applyBorder="1" applyAlignment="1">
      <alignment horizontal="center"/>
    </xf>
    <xf numFmtId="164" fontId="1" fillId="5" borderId="9" xfId="0" applyNumberFormat="1" applyFont="1" applyFill="1" applyBorder="1" applyAlignment="1">
      <alignment wrapText="1"/>
    </xf>
    <xf numFmtId="167" fontId="1" fillId="5" borderId="9"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0" fontId="17" fillId="0" borderId="0" xfId="0" applyFont="1"/>
    <xf numFmtId="164" fontId="13" fillId="0" borderId="3" xfId="0" applyNumberFormat="1" applyFont="1" applyBorder="1"/>
    <xf numFmtId="168" fontId="11" fillId="0" borderId="7" xfId="0" applyNumberFormat="1" applyFont="1" applyBorder="1" applyAlignment="1">
      <alignment horizontal="center"/>
    </xf>
    <xf numFmtId="168" fontId="11" fillId="0" borderId="6" xfId="0" applyNumberFormat="1" applyFont="1" applyBorder="1" applyAlignment="1">
      <alignment horizontal="center"/>
    </xf>
    <xf numFmtId="168" fontId="11" fillId="0" borderId="13" xfId="0" applyNumberFormat="1" applyFont="1" applyBorder="1" applyAlignment="1">
      <alignment horizontal="center"/>
    </xf>
    <xf numFmtId="168" fontId="11" fillId="0" borderId="12" xfId="0" applyNumberFormat="1" applyFont="1" applyBorder="1" applyAlignment="1">
      <alignment horizontal="center"/>
    </xf>
    <xf numFmtId="0" fontId="1" fillId="0" borderId="0" xfId="0" applyFont="1" applyAlignment="1">
      <alignment indent="1"/>
    </xf>
    <xf numFmtId="169" fontId="11" fillId="0" borderId="13" xfId="0" applyNumberFormat="1" applyFont="1" applyBorder="1" applyAlignment="1">
      <alignment horizontal="center"/>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 fillId="3" borderId="10" xfId="0" applyFont="1" applyFill="1" applyBorder="1" applyAlignment="1">
      <alignment horizontal="center"/>
    </xf>
    <xf numFmtId="0" fontId="1" fillId="3" borderId="11" xfId="0" applyFont="1" applyFill="1" applyBorder="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Nvidia</a:t>
            </a:r>
          </a:p>
        </c:rich>
      </c:tx>
      <c:layout>
        <c:manualLayout>
          <c:xMode val="edge"/>
          <c:yMode val="edge"/>
          <c:x val="0.45186226319659389"/>
          <c:y val="2.80254777070063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160170740727073E-2"/>
          <c:y val="0.1331083805607102"/>
          <c:w val="0.86925468758146107"/>
          <c:h val="0.697227343397361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050500047111905"/>
          <c:y val="0.91088239129344506"/>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10583</xdr:colOff>
      <xdr:row>108</xdr:row>
      <xdr:rowOff>15875</xdr:rowOff>
    </xdr:from>
    <xdr:to>
      <xdr:col>33</xdr:col>
      <xdr:colOff>1449917</xdr:colOff>
      <xdr:row>128</xdr:row>
      <xdr:rowOff>0</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439.9</v>
    <v>108.13</v>
    <v>1.7507999999999999</v>
    <v>4</v>
    <v>9.500999999999999E-3</v>
    <v>0.72</v>
    <v>1.694E-3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432.14</v>
    <v>Semiconductors &amp; Semiconductor Equipment</v>
    <v>Stock</v>
    <v>45114.999988610936</v>
    <v>0</v>
    <v>421.8</v>
    <v>1049824000000</v>
    <v>NVIDIA CORPORATION</v>
    <v>NVIDIA CORPORATION</v>
    <v>423.22</v>
    <v>218.81120000000001</v>
    <v>421.03</v>
    <v>425.03</v>
    <v>425.75</v>
    <v>2470000000</v>
    <v>NVDA</v>
    <v>NVIDIA CORPORATION (XNAS:NVDA)</v>
    <v>35588147</v>
    <v>49426279</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W85" activePane="bottomRight" state="frozen"/>
      <selection pane="topRight"/>
      <selection pane="bottomLeft"/>
      <selection pane="bottomRight" activeCell="AB92" sqref="AB92"/>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42514000000</v>
      </c>
      <c r="AB3" s="21">
        <v>52198000000</v>
      </c>
      <c r="AC3" s="21">
        <v>63545000000</v>
      </c>
      <c r="AD3" s="21">
        <v>81782000000</v>
      </c>
      <c r="AE3" s="21">
        <v>103900000000</v>
      </c>
      <c r="AF3" s="32" t="s">
        <v>108</v>
      </c>
      <c r="AG3" s="33" t="s">
        <v>109</v>
      </c>
      <c r="AH3" s="33" t="s">
        <v>110</v>
      </c>
      <c r="AI3" s="33"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0.57611032846444732</v>
      </c>
      <c r="AB4" s="16">
        <f t="shared" si="1"/>
        <v>0.22778378886954886</v>
      </c>
      <c r="AC4" s="16">
        <f t="shared" si="1"/>
        <v>0.21738380780872824</v>
      </c>
      <c r="AD4" s="16">
        <f t="shared" si="1"/>
        <v>0.28699346919505864</v>
      </c>
      <c r="AE4" s="16">
        <f t="shared" si="1"/>
        <v>0.27045071042527691</v>
      </c>
      <c r="AF4" s="34">
        <f>(Z4+Y4+X4)/3</f>
        <v>0.38118556093218037</v>
      </c>
      <c r="AG4" s="34">
        <f>(Z20+Y20+X20)/3</f>
        <v>0.40909729531125477</v>
      </c>
      <c r="AH4" s="34">
        <f>(Z29+Y29+X29)/3</f>
        <v>0.41613951529322118</v>
      </c>
      <c r="AI4" s="3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32" t="s">
        <v>112</v>
      </c>
      <c r="AG6" s="33" t="s">
        <v>113</v>
      </c>
      <c r="AH6" s="33" t="s">
        <v>114</v>
      </c>
      <c r="AI6" s="33"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34">
        <f>Z7</f>
        <v>0.56930000000000003</v>
      </c>
      <c r="AG7" s="35">
        <f>Z21</f>
        <v>0.23580000000000001</v>
      </c>
      <c r="AH7" s="35">
        <f>Z30</f>
        <v>0.16189999999999999</v>
      </c>
      <c r="AI7" s="35">
        <f>Z107/Z3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32" t="s">
        <v>95</v>
      </c>
      <c r="AG9" s="33" t="s">
        <v>96</v>
      </c>
      <c r="AH9" s="33" t="s">
        <v>97</v>
      </c>
      <c r="AI9" s="3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34">
        <f>Z9</f>
        <v>0.27207681471046191</v>
      </c>
      <c r="AG10" s="35">
        <f>Z13</f>
        <v>9.0457477570994288E-2</v>
      </c>
      <c r="AH10" s="35">
        <f>Z80</f>
        <v>0.10043004374582931</v>
      </c>
      <c r="AI10" s="3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32" t="s">
        <v>116</v>
      </c>
      <c r="AG12" s="33" t="s">
        <v>117</v>
      </c>
      <c r="AH12" s="33" t="s">
        <v>118</v>
      </c>
      <c r="AI12" s="33"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34">
        <f>Z28/Z72</f>
        <v>0.19763811592235644</v>
      </c>
      <c r="AG13" s="35">
        <f>Z28/Z54</f>
        <v>0.10606575688407557</v>
      </c>
      <c r="AH13" s="35">
        <f>Z22/(Z72+Z56+Z61)</f>
        <v>0.12439627753563436</v>
      </c>
      <c r="AI13" s="46">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32" t="s">
        <v>120</v>
      </c>
      <c r="AG15" s="33" t="s">
        <v>153</v>
      </c>
      <c r="AH15" s="33" t="s">
        <v>154</v>
      </c>
      <c r="AI15" s="3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47">
        <f>AH101/Z3</f>
        <v>38.919848743234226</v>
      </c>
      <c r="AH16" s="47">
        <f>AH101/Z28</f>
        <v>240.34432234432234</v>
      </c>
      <c r="AI16" s="48">
        <f>AH101/Z107</f>
        <v>275.68907563025209</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32" t="s">
        <v>156</v>
      </c>
      <c r="AG18" s="33" t="s">
        <v>158</v>
      </c>
      <c r="AH18" s="33" t="s">
        <v>159</v>
      </c>
      <c r="AI18" s="3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39">
        <v>19383000000</v>
      </c>
      <c r="AB19" s="39">
        <v>17035000000</v>
      </c>
      <c r="AC19" s="39">
        <v>19737000000</v>
      </c>
      <c r="AD19" s="39">
        <v>33545000000</v>
      </c>
      <c r="AE19" s="39">
        <v>39326000000</v>
      </c>
      <c r="AF19" s="36">
        <f>Z40-Z56-Z61</f>
        <v>1441000000</v>
      </c>
      <c r="AG19" s="47">
        <f>AH101/AA3</f>
        <v>24.693606811873735</v>
      </c>
      <c r="AH19" s="47">
        <f>AB116/AA31</f>
        <v>55.48694516971279</v>
      </c>
      <c r="AI19" s="49">
        <f>AH101/AA105</f>
        <v>272.31148565843705</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16">
        <f t="shared" ref="AA20" si="22">(AA19/Z19)-1</f>
        <v>2.0471623958497092</v>
      </c>
      <c r="AB20" s="16">
        <f t="shared" ref="AB20" si="23">(AB19/AA19)-1</f>
        <v>-0.12113707888355774</v>
      </c>
      <c r="AC20" s="16">
        <f t="shared" ref="AC20" si="24">(AC19/AB19)-1</f>
        <v>0.15861461696507195</v>
      </c>
      <c r="AD20" s="16">
        <f t="shared" ref="AD20" si="25">(AD19/AC19)-1</f>
        <v>0.69959973653544094</v>
      </c>
      <c r="AE20" s="16">
        <f t="shared" ref="AE20" si="26">(AE19/AD19)-1</f>
        <v>0.17233566850499327</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40">
        <f>AA19/AA3</f>
        <v>0.4559204026908783</v>
      </c>
      <c r="AB21" s="40">
        <f t="shared" ref="AB21:AE21" si="27">AB19/AB3</f>
        <v>0.32635350013410475</v>
      </c>
      <c r="AC21" s="40">
        <f t="shared" si="27"/>
        <v>0.31059878826028797</v>
      </c>
      <c r="AD21" s="40">
        <f t="shared" si="27"/>
        <v>0.41017583331295393</v>
      </c>
      <c r="AE21" s="40">
        <f t="shared" si="27"/>
        <v>0.37849855630413859</v>
      </c>
      <c r="AH21" s="32" t="s">
        <v>165</v>
      </c>
      <c r="AI21" s="3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44"/>
      <c r="AB22" s="44"/>
      <c r="AC22" s="44"/>
      <c r="AD22" s="44"/>
      <c r="AE22" s="44"/>
      <c r="AH22" s="51">
        <f>(-1*Z98)/AH101</f>
        <v>3.7911116530008841E-4</v>
      </c>
      <c r="AI22" s="52">
        <f>Z107/AH101</f>
        <v>3.6272746669918005E-3</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44"/>
      <c r="AB23" s="44"/>
      <c r="AC23" s="44"/>
      <c r="AD23" s="44"/>
      <c r="AE23" s="44"/>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44"/>
      <c r="AB24" s="44"/>
      <c r="AC24" s="44"/>
      <c r="AD24" s="44"/>
      <c r="AE24" s="44"/>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44"/>
      <c r="AB25" s="44"/>
      <c r="AC25" s="44"/>
      <c r="AD25" s="44"/>
      <c r="AE25" s="44"/>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44"/>
      <c r="AB26" s="44"/>
      <c r="AC26" s="44"/>
      <c r="AD26" s="44"/>
      <c r="AE26" s="44"/>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44"/>
      <c r="AB27" s="44"/>
      <c r="AC27" s="44"/>
      <c r="AD27" s="44"/>
      <c r="AE27" s="44"/>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45">
        <v>18946000000</v>
      </c>
      <c r="AB28" s="45">
        <v>24287000000</v>
      </c>
      <c r="AC28" s="45">
        <v>29281000000</v>
      </c>
      <c r="AD28" s="45">
        <v>34861000000</v>
      </c>
      <c r="AE28" s="45">
        <v>46234000000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3.3374542124542126</v>
      </c>
      <c r="AB29" s="16">
        <f t="shared" ref="AB29" si="47">(AB28/AA28)-1</f>
        <v>0.28190647102290711</v>
      </c>
      <c r="AC29" s="16">
        <f t="shared" ref="AC29" si="48">(AC28/AB28)-1</f>
        <v>0.20562440811957017</v>
      </c>
      <c r="AD29" s="16">
        <f t="shared" ref="AD29" si="49">(AD28/AC28)-1</f>
        <v>0.19056726204706131</v>
      </c>
      <c r="AE29" s="16">
        <f t="shared" ref="AE29" si="50">(AE28/AD28)-1</f>
        <v>0.32623849000315541</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40">
        <f>AA28/AA3</f>
        <v>0.44564143576233711</v>
      </c>
      <c r="AB30" s="40">
        <f t="shared" ref="AB30:AE30" si="51">AB28/AB3</f>
        <v>0.46528602628453197</v>
      </c>
      <c r="AC30" s="40">
        <f t="shared" si="51"/>
        <v>0.460791565032654</v>
      </c>
      <c r="AD30" s="40">
        <f t="shared" si="51"/>
        <v>0.42626739380303735</v>
      </c>
      <c r="AE30" s="40">
        <f t="shared" si="51"/>
        <v>0.44498556304138592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41">
        <v>7.66</v>
      </c>
      <c r="AB31" s="41">
        <v>9.82</v>
      </c>
      <c r="AC31" s="41">
        <v>11.84</v>
      </c>
      <c r="AD31" s="41">
        <v>14.1</v>
      </c>
      <c r="AE31" s="41">
        <v>18.690000000000001</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 si="69">(Z34-Y34)/Y34</f>
        <v>-1.1045364891518738E-2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c r="AG83" s="70" t="s">
        <v>121</v>
      </c>
      <c r="AH83" s="71"/>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2" t="s">
        <v>122</v>
      </c>
      <c r="AH84" s="72"/>
    </row>
    <row r="85" spans="1:34" ht="20"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53" t="s">
        <v>101</v>
      </c>
      <c r="AH85" s="54">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53" t="s">
        <v>123</v>
      </c>
      <c r="AH86" s="54">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53" t="s">
        <v>124</v>
      </c>
      <c r="AH87" s="54">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55" t="s">
        <v>125</v>
      </c>
      <c r="AH88" s="56">
        <f>AH85/(AH86+AH87)</f>
        <v>2.210037958667229E-2</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53" t="s">
        <v>126</v>
      </c>
      <c r="AH89" s="54">
        <f>Z27</f>
        <v>187000000</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53" t="s">
        <v>19</v>
      </c>
      <c r="AH90" s="54">
        <f>Z25</f>
        <v>4181000000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55" t="s">
        <v>127</v>
      </c>
      <c r="AH91" s="56">
        <f>AH89/AH90</f>
        <v>4.4726142071274816E-2</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5" t="s">
        <v>128</v>
      </c>
      <c r="AH92" s="56">
        <f>AH88*(1-AH91)</f>
        <v>2.1111914869449685E-2</v>
      </c>
    </row>
    <row r="93" spans="1:34" ht="19"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73" t="s">
        <v>129</v>
      </c>
      <c r="AH93" s="73"/>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53" t="s">
        <v>103</v>
      </c>
      <c r="AH94" s="57">
        <f>[1]Treasuries!$C$8</f>
        <v>4.0410000000000001E-2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53" t="s">
        <v>130</v>
      </c>
      <c r="AH95" s="58" cm="1">
        <f t="array" ref="AH95">_FV(A1,"Beta")</f>
        <v>1.7507999999999999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53" t="s">
        <v>131</v>
      </c>
      <c r="AH96" s="57">
        <v>8.4000000000000005E-2</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55" t="s">
        <v>132</v>
      </c>
      <c r="AH97" s="56">
        <f>(AH94)+((AH95)*(AH96-AH94))</f>
        <v>0.11672737200000001</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73" t="s">
        <v>133</v>
      </c>
      <c r="AH98" s="73"/>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53" t="s">
        <v>134</v>
      </c>
      <c r="AH99" s="54">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55" t="s">
        <v>105</v>
      </c>
      <c r="AH100" s="56">
        <f>AH99/AH103</f>
        <v>1.1166275305436011E-2</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53" t="s">
        <v>135</v>
      </c>
      <c r="AH101" s="59" cm="1">
        <f t="array" ref="AH101">_FV(A1,"Market cap",TRUE)</f>
        <v>1049824000000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55" t="s">
        <v>136</v>
      </c>
      <c r="AH102" s="56">
        <f>AH101/AH103</f>
        <v>0.98883372469456399</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5" t="s">
        <v>137</v>
      </c>
      <c r="AH103" s="60">
        <f>AH99+AH101</f>
        <v>1061679000000</v>
      </c>
    </row>
    <row r="104" spans="1:34" ht="20"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72" t="s">
        <v>138</v>
      </c>
      <c r="AH104" s="72"/>
    </row>
    <row r="105" spans="1:34" ht="21" thickTop="1" x14ac:dyDescent="0.25">
      <c r="A105" s="14" t="s">
        <v>160</v>
      </c>
      <c r="B105" s="1">
        <f t="shared" ref="B105:Y105" si="72">(B22*(1-$AH$91))+B77+B88+B81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(Z22*(1-$AH$91))+Z77+Z88+Z81</f>
        <v>2930076775.8909359</v>
      </c>
      <c r="AA105" s="22">
        <f>Z105*(1+$AH$106)</f>
        <v>3855232170.8413153</v>
      </c>
      <c r="AB105" s="22">
        <f t="shared" ref="AB105:AE105" si="73">AA105*(1+$AH$106)</f>
        <v>5072500220.261487</v>
      </c>
      <c r="AC105" s="22">
        <f t="shared" si="73"/>
        <v>6674113865.0899467</v>
      </c>
      <c r="AD105" s="22">
        <f t="shared" si="73"/>
        <v>8781428082.7945709</v>
      </c>
      <c r="AE105" s="22">
        <f t="shared" si="73"/>
        <v>11554115007.933548</v>
      </c>
      <c r="AF105" s="23" t="s">
        <v>163</v>
      </c>
      <c r="AG105" s="61" t="s">
        <v>139</v>
      </c>
      <c r="AH105" s="62">
        <f>(AH100*AH92)+(AH102*AH97)</f>
        <v>0.11565970348222518</v>
      </c>
    </row>
    <row r="106" spans="1:34" ht="19" x14ac:dyDescent="0.25">
      <c r="A106" s="14" t="s">
        <v>161</v>
      </c>
      <c r="B106" s="1"/>
      <c r="C106" s="15">
        <f t="shared" ref="C106:Z106" si="74">(C107/B107)-1</f>
        <v>-1.4387755102040816</v>
      </c>
      <c r="D106" s="15">
        <f t="shared" si="74"/>
        <v>6.344186046511628</v>
      </c>
      <c r="E106" s="15">
        <f t="shared" si="74"/>
        <v>-1.0085180493983534</v>
      </c>
      <c r="F106" s="15">
        <f t="shared" si="74"/>
        <v>-751.59107806691452</v>
      </c>
      <c r="G106" s="15">
        <f t="shared" si="74"/>
        <v>-1.3859461440549952</v>
      </c>
      <c r="H106" s="15">
        <f t="shared" si="74"/>
        <v>-1.8333418884582811</v>
      </c>
      <c r="I106" s="15">
        <f t="shared" si="74"/>
        <v>4.6485009008454083</v>
      </c>
      <c r="J106" s="15">
        <f t="shared" si="74"/>
        <v>0.20459477437787621</v>
      </c>
      <c r="K106" s="15">
        <f t="shared" si="74"/>
        <v>1.449787826323115</v>
      </c>
      <c r="L106" s="15">
        <f t="shared" si="74"/>
        <v>-1.1462514238519803</v>
      </c>
      <c r="M106" s="15">
        <f t="shared" si="74"/>
        <v>-3.5911565914976946</v>
      </c>
      <c r="N106" s="15">
        <f t="shared" si="74"/>
        <v>0.40882142143215838</v>
      </c>
      <c r="O106" s="15">
        <f t="shared" si="74"/>
        <v>0.33312280349606427</v>
      </c>
      <c r="P106" s="15">
        <f t="shared" si="74"/>
        <v>-0.16816519798915142</v>
      </c>
      <c r="Q106" s="15">
        <f t="shared" si="74"/>
        <v>-9.5032791719915188E-2</v>
      </c>
      <c r="R106" s="15">
        <f t="shared" si="74"/>
        <v>0.35056728050210362</v>
      </c>
      <c r="S106" s="15">
        <f t="shared" si="74"/>
        <v>0.39031630015001118</v>
      </c>
      <c r="T106" s="15">
        <f t="shared" si="74"/>
        <v>0.3737373737373737</v>
      </c>
      <c r="U106" s="15">
        <f t="shared" si="74"/>
        <v>0.94451871657754016</v>
      </c>
      <c r="V106" s="15">
        <f t="shared" si="74"/>
        <v>8.0440013750429751E-2</v>
      </c>
      <c r="W106" s="15">
        <f t="shared" si="74"/>
        <v>0.35921094495704731</v>
      </c>
      <c r="X106" s="15">
        <f t="shared" si="74"/>
        <v>9.878277153558046E-2</v>
      </c>
      <c r="Y106" s="15">
        <f t="shared" si="74"/>
        <v>0.73242437153813378</v>
      </c>
      <c r="Z106" s="15">
        <f t="shared" si="74"/>
        <v>-0.53172651254303982</v>
      </c>
      <c r="AA106" s="42">
        <v>17409000000</v>
      </c>
      <c r="AB106" s="42">
        <v>23881000000</v>
      </c>
      <c r="AC106" s="42">
        <v>29474000000</v>
      </c>
      <c r="AD106" s="42">
        <v>37416000000</v>
      </c>
      <c r="AE106" s="42">
        <v>49397000000</v>
      </c>
      <c r="AF106" s="23" t="s">
        <v>164</v>
      </c>
      <c r="AG106" s="63" t="s">
        <v>140</v>
      </c>
      <c r="AH106" s="64">
        <f>(SUM(AA4:AE4)/5)</f>
        <v>0.31574442095261201</v>
      </c>
    </row>
    <row r="107" spans="1:34" ht="20" customHeight="1" x14ac:dyDescent="0.25">
      <c r="A107" s="50"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23"/>
      <c r="AB107" s="23"/>
      <c r="AC107" s="23"/>
      <c r="AD107" s="23"/>
      <c r="AE107" s="43">
        <f>AE106*(1+AH107)/(AH108-AH107)</f>
        <v>558483240681.75366</v>
      </c>
      <c r="AF107" s="24" t="s">
        <v>141</v>
      </c>
      <c r="AG107" s="65" t="s">
        <v>142</v>
      </c>
      <c r="AH107" s="66">
        <v>2.5000000000000001E-2</v>
      </c>
    </row>
    <row r="108" spans="1:34" ht="19" x14ac:dyDescent="0.25">
      <c r="AA108" s="43">
        <f t="shared" ref="AA108:AD108" si="75">AA107+AA106</f>
        <v>17409000000</v>
      </c>
      <c r="AB108" s="43">
        <f t="shared" si="75"/>
        <v>23881000000</v>
      </c>
      <c r="AC108" s="43">
        <f t="shared" si="75"/>
        <v>29474000000</v>
      </c>
      <c r="AD108" s="43">
        <f t="shared" si="75"/>
        <v>37416000000</v>
      </c>
      <c r="AE108" s="43">
        <f>AE107+AE106</f>
        <v>607880240681.75366</v>
      </c>
      <c r="AF108" s="24" t="s">
        <v>137</v>
      </c>
      <c r="AG108" s="67" t="s">
        <v>143</v>
      </c>
      <c r="AH108" s="64">
        <f>AH105</f>
        <v>0.11565970348222518</v>
      </c>
    </row>
    <row r="109" spans="1:34" ht="19" x14ac:dyDescent="0.25">
      <c r="AA109" s="68" t="s">
        <v>144</v>
      </c>
      <c r="AB109" s="69"/>
    </row>
    <row r="110" spans="1:34" ht="20" x14ac:dyDescent="0.25">
      <c r="AA110" s="25" t="s">
        <v>145</v>
      </c>
      <c r="AB110" s="26">
        <f>NPV(AH108,AA108,AB108,AC108,AD108,AE108)</f>
        <v>431855379957.13098</v>
      </c>
    </row>
    <row r="111" spans="1:34" ht="20" x14ac:dyDescent="0.25">
      <c r="AA111" s="25" t="s">
        <v>146</v>
      </c>
      <c r="AB111" s="26">
        <f>Z40</f>
        <v>13296000000</v>
      </c>
    </row>
    <row r="112" spans="1:34" ht="20" x14ac:dyDescent="0.25">
      <c r="AA112" s="25" t="s">
        <v>134</v>
      </c>
      <c r="AB112" s="26">
        <f>AH99</f>
        <v>11855000000</v>
      </c>
    </row>
    <row r="113" spans="27:28" ht="20" x14ac:dyDescent="0.25">
      <c r="AA113" s="25" t="s">
        <v>147</v>
      </c>
      <c r="AB113" s="26">
        <f>AB110+AB111-AB112</f>
        <v>433296379957.13098</v>
      </c>
    </row>
    <row r="114" spans="27:28" ht="20" x14ac:dyDescent="0.25">
      <c r="AA114" s="25" t="s">
        <v>148</v>
      </c>
      <c r="AB114" s="37">
        <f>Z34*(1+(5*AF16))</f>
        <v>2486984027.9409657</v>
      </c>
    </row>
    <row r="115" spans="27:28" ht="20" x14ac:dyDescent="0.25">
      <c r="AA115" s="27" t="s">
        <v>149</v>
      </c>
      <c r="AB115" s="28">
        <f>AB113/AB114</f>
        <v>174.22563839940202</v>
      </c>
    </row>
    <row r="116" spans="27:28" ht="20" x14ac:dyDescent="0.25">
      <c r="AA116" s="25" t="s">
        <v>150</v>
      </c>
      <c r="AB116" s="38" cm="1">
        <f t="array" ref="AB116">_FV(A1,"Price")</f>
        <v>425.03</v>
      </c>
    </row>
    <row r="117" spans="27:28" ht="20" x14ac:dyDescent="0.25">
      <c r="AA117" s="29" t="s">
        <v>151</v>
      </c>
      <c r="AB117" s="30">
        <f>AB115/AB116-1</f>
        <v>-0.59008625650094815</v>
      </c>
    </row>
    <row r="118" spans="27:28" ht="20" x14ac:dyDescent="0.25">
      <c r="AA118" s="29" t="s">
        <v>152</v>
      </c>
      <c r="AB118" s="31"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6" r:id="rId53" xr:uid="{455E61A6-7595-BF44-83CA-5135D6E59FB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2023-07-09T11:27:46Z</dcterms:modified>
</cp:coreProperties>
</file>