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473C5FD-CE5A-A744-9CCB-6043A4C068E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94" i="1" l="1"/>
  <c r="K108" i="1"/>
  <c r="L108" i="1"/>
  <c r="M108" i="1"/>
  <c r="N108" i="1"/>
  <c r="L105" i="1"/>
  <c r="M105" i="1" s="1"/>
  <c r="N105" i="1" s="1"/>
  <c r="O105" i="1" s="1"/>
  <c r="K105" i="1"/>
  <c r="B105" i="1"/>
  <c r="C105" i="1"/>
  <c r="D105" i="1"/>
  <c r="E105" i="1"/>
  <c r="F105" i="1"/>
  <c r="G105" i="1"/>
  <c r="H105" i="1"/>
  <c r="I105" i="1"/>
  <c r="J105" i="1"/>
  <c r="K29" i="1"/>
  <c r="L29" i="1"/>
  <c r="M29" i="1"/>
  <c r="N29" i="1"/>
  <c r="O29" i="1"/>
  <c r="K30" i="1"/>
  <c r="L30" i="1"/>
  <c r="M30" i="1"/>
  <c r="N30" i="1"/>
  <c r="O30" i="1"/>
  <c r="K20" i="1"/>
  <c r="L20" i="1"/>
  <c r="M20" i="1"/>
  <c r="N20" i="1"/>
  <c r="O20" i="1"/>
  <c r="K21" i="1"/>
  <c r="L21" i="1"/>
  <c r="M21" i="1"/>
  <c r="N21" i="1"/>
  <c r="O21" i="1"/>
  <c r="L116" i="1" a="1"/>
  <c r="L116" i="1" s="1"/>
  <c r="R101" i="1" a="1"/>
  <c r="R101" i="1" s="1"/>
  <c r="R95" i="1" a="1"/>
  <c r="R95" i="1" s="1"/>
  <c r="L111" i="1"/>
  <c r="R90" i="1"/>
  <c r="R89" i="1"/>
  <c r="R91" i="1" s="1"/>
  <c r="R87" i="1"/>
  <c r="R86" i="1"/>
  <c r="R99" i="1" s="1"/>
  <c r="R85" i="1"/>
  <c r="R88" i="1" s="1"/>
  <c r="R92" i="1" s="1"/>
  <c r="P19" i="1"/>
  <c r="P16" i="1"/>
  <c r="L114" i="1" s="1"/>
  <c r="S13" i="1"/>
  <c r="R13" i="1"/>
  <c r="Q13" i="1"/>
  <c r="P13" i="1"/>
  <c r="S10" i="1"/>
  <c r="R10" i="1"/>
  <c r="Q10" i="1"/>
  <c r="P10" i="1"/>
  <c r="S7" i="1"/>
  <c r="R7" i="1"/>
  <c r="Q7" i="1"/>
  <c r="P7" i="1"/>
  <c r="R4" i="1"/>
  <c r="Q4" i="1"/>
  <c r="P4" i="1"/>
  <c r="O4" i="1"/>
  <c r="N4" i="1"/>
  <c r="M4" i="1"/>
  <c r="L4" i="1"/>
  <c r="K4" i="1"/>
  <c r="J77" i="1"/>
  <c r="J76" i="1"/>
  <c r="J73" i="1"/>
  <c r="J67" i="1"/>
  <c r="J65" i="1"/>
  <c r="J30" i="1"/>
  <c r="J26" i="1"/>
  <c r="J25" i="1"/>
  <c r="J23" i="1"/>
  <c r="J21" i="1"/>
  <c r="J7" i="1"/>
  <c r="J6" i="1"/>
  <c r="R19" i="1" l="1"/>
  <c r="S22" i="1"/>
  <c r="R22" i="1"/>
  <c r="R97" i="1"/>
  <c r="S19" i="1"/>
  <c r="Q19" i="1"/>
  <c r="R106" i="1"/>
  <c r="S16" i="1"/>
  <c r="Q16" i="1"/>
  <c r="R16" i="1"/>
  <c r="R103" i="1"/>
  <c r="R100" i="1" s="1"/>
  <c r="L112" i="1"/>
  <c r="R102" i="1" l="1"/>
  <c r="R105" i="1" s="1"/>
  <c r="R108" i="1" s="1"/>
  <c r="O107" i="1" s="1"/>
  <c r="O108" i="1" s="1"/>
  <c r="J106" i="1" l="1"/>
  <c r="I106" i="1"/>
  <c r="H106" i="1"/>
  <c r="G106" i="1"/>
  <c r="F106" i="1"/>
  <c r="E106" i="1"/>
  <c r="D106" i="1"/>
  <c r="C106"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S4" i="1" l="1"/>
  <c r="L110" i="1" l="1"/>
  <c r="L113" i="1" s="1"/>
  <c r="L115" i="1" s="1"/>
  <c r="L117" i="1" s="1"/>
  <c r="L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<sst xmlns="http://schemas.openxmlformats.org/spreadsheetml/2006/main" count="397" uniqueCount="167">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</sst>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863787375415275E-2"/>
          <c:y val="0.14055285798134959"/>
          <c:w val="0.84599335548172772"/>
          <c:h val="0.6744463199097394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153675000</c:v>
                </c:pt>
                <c:pt idx="1">
                  <c:v>331101000</c:v>
                </c:pt>
                <c:pt idx="2">
                  <c:v>659361000</c:v>
                </c:pt>
                <c:pt idx="3">
                  <c:v>1012440000</c:v>
                </c:pt>
                <c:pt idx="4">
                  <c:v>1652948000</c:v>
                </c:pt>
                <c:pt idx="5">
                  <c:v>2656774000</c:v>
                </c:pt>
                <c:pt idx="6">
                  <c:v>3641389000</c:v>
                </c:pt>
                <c:pt idx="7">
                  <c:v>5995419000</c:v>
                </c:pt>
                <c:pt idx="8">
                  <c:v>8935661000</c:v>
                </c:pt>
              </c:numCache>
            </c:numRef>
          </c:val>
          <c:extLst>
            <c:ext xmlns:c16="http://schemas.microsoft.com/office/drawing/2014/chart" uri="{C3380CC4-5D6E-409C-BE32-E72D297353CC}">
              <c16:uniqueId val="{00000000-61D0-304E-8D5A-7F1748D0159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15022000</c:v>
                </c:pt>
                <c:pt idx="1">
                  <c:v>43268000</c:v>
                </c:pt>
                <c:pt idx="2">
                  <c:v>123881000</c:v>
                </c:pt>
                <c:pt idx="3">
                  <c:v>98935000</c:v>
                </c:pt>
                <c:pt idx="4">
                  <c:v>174962000</c:v>
                </c:pt>
                <c:pt idx="5">
                  <c:v>284217000</c:v>
                </c:pt>
                <c:pt idx="6">
                  <c:v>361153000</c:v>
                </c:pt>
                <c:pt idx="7">
                  <c:v>628646000</c:v>
                </c:pt>
                <c:pt idx="8">
                  <c:v>693000000</c:v>
                </c:pt>
              </c:numCache>
            </c:numRef>
          </c:val>
          <c:extLst>
            <c:ext xmlns:c16="http://schemas.microsoft.com/office/drawing/2014/chart" uri="{C3380CC4-5D6E-409C-BE32-E72D297353CC}">
              <c16:uniqueId val="{00000001-61D0-304E-8D5A-7F1748D01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1'!$B$107:$J$107</c:f>
              <c:numCache>
                <c:formatCode>#,###,,;\(#,###,,\);\ \-\ \-</c:formatCode>
                <c:ptCount val="9"/>
                <c:pt idx="0">
                  <c:v>141003000</c:v>
                </c:pt>
                <c:pt idx="1">
                  <c:v>131536000</c:v>
                </c:pt>
                <c:pt idx="2">
                  <c:v>177039000</c:v>
                </c:pt>
                <c:pt idx="3">
                  <c:v>189583000</c:v>
                </c:pt>
                <c:pt idx="4">
                  <c:v>370195000</c:v>
                </c:pt>
                <c:pt idx="5">
                  <c:v>509496000</c:v>
                </c:pt>
                <c:pt idx="6">
                  <c:v>994755000</c:v>
                </c:pt>
                <c:pt idx="7">
                  <c:v>1765800000</c:v>
                </c:pt>
                <c:pt idx="8">
                  <c:v>1999000000</c:v>
                </c:pt>
              </c:numCache>
            </c:numRef>
          </c:val>
          <c:extLst>
            <c:ext xmlns:c16="http://schemas.microsoft.com/office/drawing/2014/chart" uri="{C3380CC4-5D6E-409C-BE32-E72D297353CC}">
              <c16:uniqueId val="{00000002-61D0-304E-8D5A-7F1748D01593}"/>
            </c:ext>
          </c:extLst>
        </c:ser>
        <c:dLbls>
          <c:showLegendKey val="0"/>
          <c:showVal val="0"/>
          <c:showCatName val="0"/>
          <c:showSerName val="0"/>
          <c:showPercent val="0"/>
          <c:showBubbleSize val="0"/>
        </c:dLbls>
        <c:gapWidth val="100"/>
        <c:overlap val="-24"/>
        <c:axId val="920810976"/>
        <c:axId val="920812976"/>
      </c:barChart>
      <c:catAx>
        <c:axId val="92081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0812976"/>
        <c:crosses val="autoZero"/>
        <c:auto val="1"/>
        <c:lblAlgn val="ctr"/>
        <c:lblOffset val="100"/>
        <c:noMultiLvlLbl val="0"/>
      </c:catAx>
      <c:valAx>
        <c:axId val="920812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20810976"/>
        <c:crosses val="autoZero"/>
        <c:crossBetween val="between"/>
      </c:valAx>
      <c:spPr>
        <a:noFill/>
        <a:ln>
          <a:noFill/>
        </a:ln>
        <a:effectLst/>
      </c:spPr>
    </c:plotArea>
    <c:legend>
      <c:legendPos val="b"/>
      <c:layout>
        <c:manualLayout>
          <c:xMode val="edge"/>
          <c:yMode val="edge"/>
          <c:x val="0.36366484422005391"/>
          <c:y val="0.91053257929487919"/>
          <c:w val="0.3045639992675334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31750</xdr:colOff>
      <xdr:row>108</xdr:row>
      <xdr:rowOff>33337</xdr:rowOff>
    </xdr:from>
    <xdr:to>
      <xdr:col>17</xdr:col>
      <xdr:colOff>1571625</xdr:colOff>
      <xdr:row>125</xdr:row>
      <xdr:rowOff>206374</xdr:rowOff>
    </xdr:to>
    <xdr:graphicFrame macro="">
      <xdr:nvGraphicFramePr>
        <xdr:cNvPr id="2" name="Chart 1">
          <a:extLst>
            <a:ext uri="{FF2B5EF4-FFF2-40B4-BE49-F238E27FC236}">
              <a16:creationId xmlns:a16="http://schemas.microsoft.com/office/drawing/2014/main" id="{E11851DD-C07B-007E-365F-7454EB56D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https://www.bing.com/financeapi/forcetrigger?t=b1ao52&amp;q=XAMS%3aADYEN&amp;form=skydnc</v>
    <v>Learn more on Bing</v>
  </rv>
  <rv s="1">
    <v>0</v>
    <v>Adyen NV (XAMS:ADYEN)</v>
    <v>2</v>
    <v>3</v>
    <v>Finance</v>
    <v>4</v>
    <v>en-US</v>
    <v>b1ao52</v>
    <v>268435456</v>
    <v>1</v>
    <v>Powered by Refinitiv</v>
    <v>1893</v>
    <v>1198</v>
    <v>1.3108</v>
    <v>-4.2</v>
    <v>-2.8649999999999999E-3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1483.4</v>
    <v>Financial Technology (Fintech) &amp; Infrastructure</v>
    <v>Stock</v>
    <v>45114.666666666664</v>
    <v>0</v>
    <v>1450</v>
    <v>45337710000</v>
    <v>Adyen NV</v>
    <v>Adyen NV</v>
    <v>1470</v>
    <v>80.506900000000002</v>
    <v>1466.2</v>
    <v>1462</v>
    <v>31010750</v>
    <v>ADYEN</v>
    <v>Adyen NV (XAMS:ADYEN)</v>
    <v>53266</v>
    <v>60450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hyperlink" Target="https://finbox.com/NASDAQGS:MBLY/explorer/fcf_unlev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revenue_proj/"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101" activePane="bottomRight" state="frozen"/>
      <selection pane="topRight"/>
      <selection pane="bottomLeft"/>
      <selection pane="bottomRight" activeCell="O104" sqref="O104"/>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4">
        <v>2023</v>
      </c>
      <c r="L1" s="24">
        <v>2024</v>
      </c>
      <c r="M1" s="24">
        <v>2025</v>
      </c>
      <c r="N1" s="24">
        <v>2026</v>
      </c>
      <c r="O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5">
        <v>11600000000</v>
      </c>
      <c r="L3" s="25">
        <v>14500000000</v>
      </c>
      <c r="M3" s="25">
        <v>17800000000</v>
      </c>
      <c r="N3" s="25">
        <v>21000000000</v>
      </c>
      <c r="O3" s="25">
        <v>23500000000</v>
      </c>
      <c r="P3" s="19" t="s">
        <v>107</v>
      </c>
      <c r="Q3" s="20" t="s">
        <v>108</v>
      </c>
      <c r="R3" s="20" t="s">
        <v>109</v>
      </c>
      <c r="S3" s="20" t="s">
        <v>110</v>
      </c>
    </row>
    <row r="4" spans="1:38" ht="19" x14ac:dyDescent="0.25">
      <c r="A4" s="14" t="s">
        <v>93</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0.29816921210417457</v>
      </c>
      <c r="L4" s="16">
        <f t="shared" si="0"/>
        <v>0.25</v>
      </c>
      <c r="M4" s="16">
        <f t="shared" si="0"/>
        <v>0.22758620689655173</v>
      </c>
      <c r="N4" s="16">
        <f t="shared" si="0"/>
        <v>0.1797752808988764</v>
      </c>
      <c r="O4" s="16">
        <f t="shared" si="0"/>
        <v>0.11904761904761907</v>
      </c>
      <c r="P4" s="17">
        <f>(J4+I4+H4)/3</f>
        <v>0.50249503180581667</v>
      </c>
      <c r="Q4" s="17">
        <f>(J20+I20+H20)/3</f>
        <v>0.37124257432747187</v>
      </c>
      <c r="R4" s="17">
        <f>(J29+I29+H29)/3</f>
        <v>0.42661007980416271</v>
      </c>
      <c r="S4" s="17">
        <f>(J106+I106+H106)/3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111</v>
      </c>
      <c r="Q6" s="20" t="s">
        <v>112</v>
      </c>
      <c r="R6" s="20" t="s">
        <v>113</v>
      </c>
      <c r="S6" s="20" t="s">
        <v>114</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J107/J3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94</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95</v>
      </c>
      <c r="Q9" s="20" t="s">
        <v>96</v>
      </c>
      <c r="R9" s="20" t="s">
        <v>97</v>
      </c>
      <c r="S9" s="20" t="s">
        <v>98</v>
      </c>
    </row>
    <row r="10" spans="1:38" ht="19" x14ac:dyDescent="0.25">
      <c r="A10" s="5" t="s">
        <v>6</v>
      </c>
      <c r="B10" s="1">
        <v>2838000</v>
      </c>
      <c r="C10" s="1">
        <v>332000</v>
      </c>
      <c r="D10" s="1">
        <v>393000</v>
      </c>
      <c r="E10" s="1">
        <v>908000</v>
      </c>
      <c r="F10" s="1" t="s">
        <v>91</v>
      </c>
      <c r="G10" s="1" t="s">
        <v>91</v>
      </c>
      <c r="H10" s="1" t="s">
        <v>91</v>
      </c>
      <c r="I10" s="1" t="s">
        <v>91</v>
      </c>
      <c r="J10" s="1" t="s">
        <v>91</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115</v>
      </c>
      <c r="Q12" s="20" t="s">
        <v>116</v>
      </c>
      <c r="R12" s="20" t="s">
        <v>117</v>
      </c>
      <c r="S12" s="20" t="s">
        <v>118</v>
      </c>
    </row>
    <row r="13" spans="1:38" ht="19" x14ac:dyDescent="0.25">
      <c r="A13" s="14" t="s">
        <v>99</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119</v>
      </c>
      <c r="Q15" s="20" t="s">
        <v>120</v>
      </c>
      <c r="R15" s="20" t="s">
        <v>121</v>
      </c>
      <c r="S15" s="20" t="s">
        <v>122</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26">
        <f>(J35+I35+H35+G35+F35)/5</f>
        <v>2.567905561326001E-3</v>
      </c>
      <c r="Q16" s="36">
        <f>R101/J3</f>
        <v>5.0737947645954788</v>
      </c>
      <c r="R16" s="36">
        <f>R101/J28</f>
        <v>80.366204073818693</v>
      </c>
      <c r="S16" s="37">
        <f>R101/J107</f>
        <v>22.680195097548776</v>
      </c>
    </row>
    <row r="17" spans="1:19" ht="19" x14ac:dyDescent="0.25">
      <c r="A17" s="5" t="s">
        <v>12</v>
      </c>
      <c r="B17" s="1">
        <v>1000</v>
      </c>
      <c r="C17" s="1">
        <v>8000</v>
      </c>
      <c r="D17" s="1">
        <v>236000</v>
      </c>
      <c r="E17" s="1">
        <v>775000</v>
      </c>
      <c r="F17" s="1">
        <v>1516000</v>
      </c>
      <c r="G17" s="1">
        <v>4633000</v>
      </c>
      <c r="H17" s="1">
        <v>9406000</v>
      </c>
      <c r="I17" s="1">
        <v>12788000</v>
      </c>
      <c r="J17" s="1">
        <v>11963000</v>
      </c>
    </row>
    <row r="18" spans="1:19" ht="20" x14ac:dyDescent="0.25">
      <c r="A18" s="5" t="s">
        <v>13</v>
      </c>
      <c r="B18" s="1">
        <v>1056000</v>
      </c>
      <c r="C18" s="1">
        <v>2218000</v>
      </c>
      <c r="D18" s="1">
        <v>4136000</v>
      </c>
      <c r="E18" s="1">
        <v>5936000</v>
      </c>
      <c r="F18" s="1">
        <v>8736000</v>
      </c>
      <c r="G18" s="1">
        <v>22326000</v>
      </c>
      <c r="H18" s="1">
        <v>28567000</v>
      </c>
      <c r="I18" s="1">
        <v>35011000</v>
      </c>
      <c r="J18" s="1">
        <v>63613000</v>
      </c>
      <c r="P18" s="19" t="s">
        <v>123</v>
      </c>
      <c r="Q18" s="20" t="s">
        <v>157</v>
      </c>
      <c r="R18" s="20" t="s">
        <v>158</v>
      </c>
      <c r="S18" s="20" t="s">
        <v>159</v>
      </c>
    </row>
    <row r="19" spans="1:19" ht="19" x14ac:dyDescent="0.25">
      <c r="A19" s="6" t="s">
        <v>14</v>
      </c>
      <c r="B19" s="10">
        <v>15022000</v>
      </c>
      <c r="C19" s="10">
        <v>43268000</v>
      </c>
      <c r="D19" s="10">
        <v>123881000</v>
      </c>
      <c r="E19" s="10">
        <v>98935000</v>
      </c>
      <c r="F19" s="10">
        <v>174962000</v>
      </c>
      <c r="G19" s="10">
        <v>284217000</v>
      </c>
      <c r="H19" s="10">
        <v>361153000</v>
      </c>
      <c r="I19" s="10">
        <v>628646000</v>
      </c>
      <c r="J19" s="10">
        <v>693000000</v>
      </c>
      <c r="K19" s="31">
        <v>835400000</v>
      </c>
      <c r="L19" s="31">
        <v>1174000000</v>
      </c>
      <c r="M19" s="31">
        <v>1608000000</v>
      </c>
      <c r="N19" s="31">
        <v>2122000000</v>
      </c>
      <c r="O19" s="31">
        <v>2615000000</v>
      </c>
      <c r="P19" s="27">
        <f>J40-J56-J61</f>
        <v>5761725000</v>
      </c>
      <c r="Q19" s="36">
        <f>R101/K3</f>
        <v>3.9084232758620692</v>
      </c>
      <c r="R19" s="38">
        <f>R101/K28</f>
        <v>65.394071830376461</v>
      </c>
      <c r="S19" s="37">
        <f>R101/K105</f>
        <v>19.605277280678632</v>
      </c>
    </row>
    <row r="20" spans="1:19" ht="19" customHeight="1" x14ac:dyDescent="0.25">
      <c r="A20" s="14" t="s">
        <v>100</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0.20548340548340538</v>
      </c>
      <c r="L20" s="16">
        <f t="shared" ref="L20" si="5">(L19/K19)-1</f>
        <v>0.40531481924826429</v>
      </c>
      <c r="M20" s="16">
        <f t="shared" ref="M20" si="6">(M19/L19)-1</f>
        <v>0.36967632027257236</v>
      </c>
      <c r="N20" s="16">
        <f t="shared" ref="N20" si="7">(N19/M19)-1</f>
        <v>0.31965174129353224</v>
      </c>
      <c r="O20" s="16">
        <f t="shared" ref="O20" si="8">(O19/N19)-1</f>
        <v>0.23232799245994351</v>
      </c>
    </row>
    <row r="21" spans="1:19" ht="20"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32">
        <f t="shared" ref="K21:O21" si="9">K19/K3</f>
        <v>7.2017241379310343E-2</v>
      </c>
      <c r="L21" s="32">
        <f t="shared" si="9"/>
        <v>8.0965517241379306E-2</v>
      </c>
      <c r="M21" s="32">
        <f t="shared" si="9"/>
        <v>9.0337078651685387E-2</v>
      </c>
      <c r="N21" s="32">
        <f t="shared" si="9"/>
        <v>0.10104761904761905</v>
      </c>
      <c r="O21" s="32">
        <f t="shared" si="9"/>
        <v>0.11127659574468085</v>
      </c>
      <c r="R21" s="19" t="s">
        <v>165</v>
      </c>
      <c r="S21" s="20" t="s">
        <v>166</v>
      </c>
    </row>
    <row r="22" spans="1:19" ht="19" x14ac:dyDescent="0.25">
      <c r="A22" s="6" t="s">
        <v>16</v>
      </c>
      <c r="B22" s="10">
        <v>13634000</v>
      </c>
      <c r="C22" s="10">
        <v>40846000</v>
      </c>
      <c r="D22" s="10">
        <v>62939000</v>
      </c>
      <c r="E22" s="10">
        <v>93394000</v>
      </c>
      <c r="F22" s="10">
        <v>173070000</v>
      </c>
      <c r="G22" s="10">
        <v>256795000</v>
      </c>
      <c r="H22" s="10">
        <v>373730000</v>
      </c>
      <c r="I22" s="10">
        <v>594731000</v>
      </c>
      <c r="J22" s="10">
        <v>664675000</v>
      </c>
      <c r="R22" s="42">
        <f>(-1*J98)/R101</f>
        <v>0</v>
      </c>
      <c r="S22" s="43">
        <f>J107/R101</f>
        <v>4.4091331476600826E-2</v>
      </c>
    </row>
    <row r="23" spans="1:19"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9" ht="19" x14ac:dyDescent="0.25">
      <c r="A24" s="5" t="s">
        <v>18</v>
      </c>
      <c r="B24" s="1">
        <v>331000</v>
      </c>
      <c r="C24" s="1">
        <v>196000</v>
      </c>
      <c r="D24" s="1">
        <v>56570000</v>
      </c>
      <c r="E24" s="1">
        <v>-1170000</v>
      </c>
      <c r="F24" s="1">
        <v>-8360000</v>
      </c>
      <c r="G24" s="1">
        <v>463000</v>
      </c>
      <c r="H24" s="1">
        <v>-50550000</v>
      </c>
      <c r="I24" s="1">
        <v>-13884000</v>
      </c>
      <c r="J24" s="1">
        <v>-11251000</v>
      </c>
    </row>
    <row r="25" spans="1:19"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9"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9" ht="19" x14ac:dyDescent="0.25">
      <c r="A27" s="5" t="s">
        <v>21</v>
      </c>
      <c r="B27" s="1">
        <v>3101000</v>
      </c>
      <c r="C27" s="1">
        <v>7434000</v>
      </c>
      <c r="D27" s="1">
        <v>22279000</v>
      </c>
      <c r="E27" s="1">
        <v>20917000</v>
      </c>
      <c r="F27" s="1">
        <v>33564000</v>
      </c>
      <c r="G27" s="1">
        <v>53219000</v>
      </c>
      <c r="H27" s="1">
        <v>62161000</v>
      </c>
      <c r="I27" s="1">
        <v>111130000</v>
      </c>
      <c r="J27" s="1">
        <v>149690000</v>
      </c>
    </row>
    <row r="28" spans="1:19"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34">
        <v>693300000</v>
      </c>
      <c r="L28" s="34">
        <v>952500000</v>
      </c>
      <c r="M28" s="34">
        <v>1321000000</v>
      </c>
      <c r="N28" s="34">
        <v>1691000000</v>
      </c>
      <c r="O28" s="34">
        <v>1916000000</v>
      </c>
    </row>
    <row r="29" spans="1:19" ht="20" customHeight="1" thickTop="1" x14ac:dyDescent="0.25">
      <c r="A29" s="14" t="s">
        <v>101</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0.22895243902655205</v>
      </c>
      <c r="L29" s="16">
        <f t="shared" ref="L29" si="12">(L28/K28)-1</f>
        <v>0.373864128083081</v>
      </c>
      <c r="M29" s="16">
        <f t="shared" ref="M29" si="13">(M28/L28)-1</f>
        <v>0.38687664041994752</v>
      </c>
      <c r="N29" s="16">
        <f t="shared" ref="N29" si="14">(N28/M28)-1</f>
        <v>0.28009084027252085</v>
      </c>
      <c r="O29" s="16">
        <f t="shared" ref="O29" si="15">(O28/N28)-1</f>
        <v>0.13305736250739209</v>
      </c>
    </row>
    <row r="30" spans="1:19"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35">
        <f t="shared" ref="K30:O30" si="16">K28/K3</f>
        <v>5.9767241379310346E-2</v>
      </c>
      <c r="L30" s="35">
        <f t="shared" si="16"/>
        <v>6.5689655172413791E-2</v>
      </c>
      <c r="M30" s="35">
        <f t="shared" si="16"/>
        <v>7.4213483146067419E-2</v>
      </c>
      <c r="N30" s="35">
        <f t="shared" si="16"/>
        <v>8.0523809523809525E-2</v>
      </c>
      <c r="O30" s="35">
        <f t="shared" si="16"/>
        <v>8.1531914893617025E-2</v>
      </c>
    </row>
    <row r="31" spans="1:19" ht="19" x14ac:dyDescent="0.25">
      <c r="A31" s="5" t="s">
        <v>24</v>
      </c>
      <c r="B31" s="12">
        <v>0.37</v>
      </c>
      <c r="C31" s="12">
        <v>1.1399999999999999</v>
      </c>
      <c r="D31" s="12">
        <v>3.29</v>
      </c>
      <c r="E31" s="12">
        <v>2.41</v>
      </c>
      <c r="F31" s="12">
        <v>4.45</v>
      </c>
      <c r="G31" s="12">
        <v>6.86</v>
      </c>
      <c r="H31" s="12">
        <v>8.6300000000000008</v>
      </c>
      <c r="I31" s="12">
        <v>15.53</v>
      </c>
      <c r="J31" s="12">
        <v>18.21</v>
      </c>
      <c r="K31" s="33">
        <v>22.37</v>
      </c>
      <c r="L31" s="33">
        <v>30.74</v>
      </c>
      <c r="M31" s="33">
        <v>42.62</v>
      </c>
      <c r="N31" s="33">
        <v>54.58</v>
      </c>
      <c r="O31" s="33">
        <v>61.83</v>
      </c>
    </row>
    <row r="32" spans="1:19"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102</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91</v>
      </c>
      <c r="C39" s="1" t="s">
        <v>91</v>
      </c>
      <c r="D39" s="1" t="s">
        <v>91</v>
      </c>
      <c r="E39" s="1">
        <v>6989000</v>
      </c>
      <c r="F39" s="1">
        <v>14260000</v>
      </c>
      <c r="G39" s="1">
        <v>13031000</v>
      </c>
      <c r="H39" s="1">
        <v>12238000</v>
      </c>
      <c r="I39" s="1" t="s">
        <v>91</v>
      </c>
      <c r="J39" s="1" t="s">
        <v>91</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91</v>
      </c>
      <c r="C41" s="1" t="s">
        <v>91</v>
      </c>
      <c r="D41" s="1" t="s">
        <v>91</v>
      </c>
      <c r="E41" s="1" t="s">
        <v>91</v>
      </c>
      <c r="F41" s="1" t="s">
        <v>91</v>
      </c>
      <c r="G41" s="1" t="s">
        <v>91</v>
      </c>
      <c r="H41" s="1" t="s">
        <v>91</v>
      </c>
      <c r="I41" s="1" t="s">
        <v>91</v>
      </c>
      <c r="J41" s="1" t="s">
        <v>91</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91</v>
      </c>
      <c r="C49" s="1" t="s">
        <v>91</v>
      </c>
      <c r="D49" s="1" t="s">
        <v>91</v>
      </c>
      <c r="E49" s="1">
        <v>18087000</v>
      </c>
      <c r="F49" s="1">
        <v>16118000</v>
      </c>
      <c r="G49" s="1">
        <v>31057000</v>
      </c>
      <c r="H49" s="1">
        <v>8645000</v>
      </c>
      <c r="I49" s="1" t="s">
        <v>91</v>
      </c>
      <c r="J49" s="1" t="s">
        <v>91</v>
      </c>
    </row>
    <row r="50" spans="1:10" ht="19" x14ac:dyDescent="0.25">
      <c r="A50" s="5" t="s">
        <v>42</v>
      </c>
      <c r="B50" s="1" t="s">
        <v>91</v>
      </c>
      <c r="C50" s="1">
        <v>919000</v>
      </c>
      <c r="D50" s="1">
        <v>1160000</v>
      </c>
      <c r="E50" s="1">
        <v>1627000</v>
      </c>
      <c r="F50" s="1">
        <v>8297000</v>
      </c>
      <c r="G50" s="1">
        <v>71633000</v>
      </c>
      <c r="H50" s="1">
        <v>106337000</v>
      </c>
      <c r="I50" s="1">
        <v>127782000</v>
      </c>
      <c r="J50" s="1">
        <v>150298000</v>
      </c>
    </row>
    <row r="51" spans="1:10" ht="19" x14ac:dyDescent="0.25">
      <c r="A51" s="5" t="s">
        <v>43</v>
      </c>
      <c r="B51" s="1" t="s">
        <v>91</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91</v>
      </c>
      <c r="C56" s="1" t="s">
        <v>91</v>
      </c>
      <c r="D56" s="1" t="s">
        <v>91</v>
      </c>
      <c r="E56" s="1" t="s">
        <v>91</v>
      </c>
      <c r="F56" s="1" t="s">
        <v>91</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91</v>
      </c>
      <c r="C61" s="1" t="s">
        <v>91</v>
      </c>
      <c r="D61" s="1" t="s">
        <v>91</v>
      </c>
      <c r="E61" s="1" t="s">
        <v>91</v>
      </c>
      <c r="F61" s="1" t="s">
        <v>91</v>
      </c>
      <c r="G61" s="1">
        <v>50903000</v>
      </c>
      <c r="H61" s="1">
        <v>118051000</v>
      </c>
      <c r="I61" s="1">
        <v>119968000</v>
      </c>
      <c r="J61" s="1">
        <v>169873000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v>19000</v>
      </c>
      <c r="D63" s="1">
        <v>3848000</v>
      </c>
      <c r="E63" s="1">
        <v>5130000</v>
      </c>
      <c r="F63" s="1">
        <v>23777000</v>
      </c>
      <c r="G63" s="1">
        <v>26214000</v>
      </c>
      <c r="H63" s="1">
        <v>23924000</v>
      </c>
      <c r="I63" s="1">
        <v>16401000</v>
      </c>
      <c r="J63" s="1">
        <v>11345000</v>
      </c>
    </row>
    <row r="64" spans="1:10" ht="19" x14ac:dyDescent="0.25">
      <c r="A64" s="5" t="s">
        <v>55</v>
      </c>
      <c r="B64" s="1" t="s">
        <v>91</v>
      </c>
      <c r="C64" s="1" t="s">
        <v>91</v>
      </c>
      <c r="D64" s="1" t="s">
        <v>91</v>
      </c>
      <c r="E64" s="1" t="s">
        <v>91</v>
      </c>
      <c r="F64" s="1">
        <v>23800000</v>
      </c>
      <c r="G64" s="1">
        <v>35800000</v>
      </c>
      <c r="H64" s="1">
        <v>68400000</v>
      </c>
      <c r="I64" s="1">
        <v>87301000</v>
      </c>
      <c r="J64" s="1">
        <v>35000000</v>
      </c>
    </row>
    <row r="65" spans="1:10" ht="19" x14ac:dyDescent="0.25">
      <c r="A65" s="5" t="s">
        <v>56</v>
      </c>
      <c r="B65" s="1" t="s">
        <v>91</v>
      </c>
      <c r="C65" s="1">
        <v>19000</v>
      </c>
      <c r="D65" s="1">
        <v>3848000</v>
      </c>
      <c r="E65" s="1">
        <v>5130000</v>
      </c>
      <c r="F65" s="1">
        <v>47577000</v>
      </c>
      <c r="G65" s="1">
        <v>112917000</v>
      </c>
      <c r="H65" s="1">
        <v>210375000</v>
      </c>
      <c r="I65" s="1">
        <v>223670000</v>
      </c>
      <c r="J65" s="1">
        <f>196027000</f>
        <v>196027000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91</v>
      </c>
      <c r="C70" s="1" t="s">
        <v>91</v>
      </c>
      <c r="D70" s="1" t="s">
        <v>91</v>
      </c>
      <c r="E70" s="1" t="s">
        <v>91</v>
      </c>
      <c r="F70" s="1" t="s">
        <v>91</v>
      </c>
      <c r="G70" s="1" t="s">
        <v>91</v>
      </c>
      <c r="H70" s="1" t="s">
        <v>91</v>
      </c>
      <c r="I70" s="1" t="s">
        <v>91</v>
      </c>
      <c r="J70" s="1" t="s">
        <v>91</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t="s">
        <v>90</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91</v>
      </c>
      <c r="C78" s="1" t="s">
        <v>91</v>
      </c>
      <c r="D78" s="1" t="s">
        <v>91</v>
      </c>
      <c r="E78" s="1" t="s">
        <v>91</v>
      </c>
      <c r="F78" s="1" t="s">
        <v>91</v>
      </c>
      <c r="G78" s="1" t="s">
        <v>91</v>
      </c>
      <c r="H78" s="1" t="s">
        <v>91</v>
      </c>
      <c r="I78" s="1" t="s">
        <v>91</v>
      </c>
      <c r="J78" s="1" t="s">
        <v>91</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103</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8" ht="19" x14ac:dyDescent="0.25">
      <c r="A81" s="5" t="s">
        <v>69</v>
      </c>
      <c r="B81" s="1">
        <v>130651000</v>
      </c>
      <c r="C81" s="1">
        <v>100546000</v>
      </c>
      <c r="D81" s="1">
        <v>78606000</v>
      </c>
      <c r="E81" s="1">
        <v>141886000</v>
      </c>
      <c r="F81" s="1">
        <v>221422000</v>
      </c>
      <c r="G81" s="1">
        <v>300409000</v>
      </c>
      <c r="H81" s="1">
        <v>686210000</v>
      </c>
      <c r="I81" s="1">
        <v>1323437000</v>
      </c>
      <c r="J81" s="1">
        <v>1423000000</v>
      </c>
    </row>
    <row r="82" spans="1:18" ht="19" x14ac:dyDescent="0.25">
      <c r="A82" s="5" t="s">
        <v>70</v>
      </c>
      <c r="B82" s="1" t="s">
        <v>91</v>
      </c>
      <c r="C82" s="1" t="s">
        <v>91</v>
      </c>
      <c r="D82" s="1" t="s">
        <v>91</v>
      </c>
      <c r="E82" s="1" t="s">
        <v>91</v>
      </c>
      <c r="F82" s="1" t="s">
        <v>91</v>
      </c>
      <c r="G82" s="1" t="s">
        <v>91</v>
      </c>
      <c r="H82" s="1" t="s">
        <v>91</v>
      </c>
      <c r="I82" s="1" t="s">
        <v>91</v>
      </c>
      <c r="J82" s="1" t="s">
        <v>91</v>
      </c>
    </row>
    <row r="83" spans="1:18" ht="21" x14ac:dyDescent="0.25">
      <c r="A83" s="5" t="s">
        <v>34</v>
      </c>
      <c r="B83" s="1">
        <v>214000</v>
      </c>
      <c r="C83" s="1">
        <v>-1394000</v>
      </c>
      <c r="D83" s="1">
        <v>-1784000</v>
      </c>
      <c r="E83" s="1">
        <v>-771000</v>
      </c>
      <c r="F83" s="1">
        <v>-3847000</v>
      </c>
      <c r="G83" s="1">
        <v>844000</v>
      </c>
      <c r="H83" s="1">
        <v>-12528000</v>
      </c>
      <c r="I83" s="1">
        <v>-3851000</v>
      </c>
      <c r="J83" s="1"/>
      <c r="Q83" s="66" t="s">
        <v>124</v>
      </c>
      <c r="R83" s="67"/>
    </row>
    <row r="84" spans="1:18" ht="19" x14ac:dyDescent="0.25">
      <c r="A84" s="5" t="s">
        <v>47</v>
      </c>
      <c r="B84" s="1" t="s">
        <v>91</v>
      </c>
      <c r="C84" s="1" t="s">
        <v>91</v>
      </c>
      <c r="D84" s="1" t="s">
        <v>91</v>
      </c>
      <c r="E84" s="1" t="s">
        <v>91</v>
      </c>
      <c r="F84" s="1" t="s">
        <v>91</v>
      </c>
      <c r="G84" s="1" t="s">
        <v>91</v>
      </c>
      <c r="H84" s="1" t="s">
        <v>91</v>
      </c>
      <c r="I84" s="1" t="s">
        <v>91</v>
      </c>
      <c r="J84" s="1" t="s">
        <v>91</v>
      </c>
      <c r="Q84" s="68" t="s">
        <v>125</v>
      </c>
      <c r="R84" s="68"/>
    </row>
    <row r="85" spans="1:18" ht="20" x14ac:dyDescent="0.25">
      <c r="A85" s="5" t="s">
        <v>71</v>
      </c>
      <c r="B85" s="1" t="s">
        <v>91</v>
      </c>
      <c r="C85" s="1" t="s">
        <v>91</v>
      </c>
      <c r="D85" s="1" t="s">
        <v>91</v>
      </c>
      <c r="E85" s="1" t="s">
        <v>91</v>
      </c>
      <c r="F85" s="1" t="s">
        <v>91</v>
      </c>
      <c r="G85" s="1" t="s">
        <v>91</v>
      </c>
      <c r="H85" s="1" t="s">
        <v>91</v>
      </c>
      <c r="I85" s="1" t="s">
        <v>91</v>
      </c>
      <c r="J85" s="1" t="s">
        <v>91</v>
      </c>
      <c r="Q85" s="44" t="s">
        <v>126</v>
      </c>
      <c r="R85" s="45">
        <f>J17</f>
        <v>11963000</v>
      </c>
    </row>
    <row r="86" spans="1:18" ht="20" x14ac:dyDescent="0.25">
      <c r="A86" s="5" t="s">
        <v>72</v>
      </c>
      <c r="B86" s="1">
        <v>1501000</v>
      </c>
      <c r="C86" s="1">
        <v>-149000</v>
      </c>
      <c r="D86" s="1">
        <v>8563000</v>
      </c>
      <c r="E86" s="1">
        <v>-19794000</v>
      </c>
      <c r="F86" s="1">
        <v>19164000</v>
      </c>
      <c r="G86" s="1">
        <v>-444000</v>
      </c>
      <c r="H86" s="1">
        <v>32857000</v>
      </c>
      <c r="I86" s="1">
        <v>-13912000</v>
      </c>
      <c r="J86" s="1"/>
      <c r="Q86" s="44" t="s">
        <v>127</v>
      </c>
      <c r="R86" s="45">
        <f>J56</f>
        <v>33200000</v>
      </c>
    </row>
    <row r="87" spans="1:18" ht="20" x14ac:dyDescent="0.25">
      <c r="A87" s="6" t="s">
        <v>73</v>
      </c>
      <c r="B87" s="10">
        <v>145781000</v>
      </c>
      <c r="C87" s="10">
        <v>138398000</v>
      </c>
      <c r="D87" s="10">
        <v>189565000</v>
      </c>
      <c r="E87" s="10">
        <v>200612000</v>
      </c>
      <c r="F87" s="10">
        <v>384005000</v>
      </c>
      <c r="G87" s="10">
        <v>529455000</v>
      </c>
      <c r="H87" s="10">
        <v>1016647000</v>
      </c>
      <c r="I87" s="10">
        <v>1820146000</v>
      </c>
      <c r="J87" s="10">
        <v>2029379000</v>
      </c>
      <c r="Q87" s="44" t="s">
        <v>128</v>
      </c>
      <c r="R87" s="45">
        <f>J61</f>
        <v>169873000</v>
      </c>
    </row>
    <row r="88" spans="1:18" ht="20" x14ac:dyDescent="0.25">
      <c r="A88" s="5" t="s">
        <v>74</v>
      </c>
      <c r="B88" s="1">
        <v>-3353000</v>
      </c>
      <c r="C88" s="1">
        <v>-5236000</v>
      </c>
      <c r="D88" s="1">
        <v>-10537000</v>
      </c>
      <c r="E88" s="1">
        <v>-9685000</v>
      </c>
      <c r="F88" s="1">
        <v>-11041000</v>
      </c>
      <c r="G88" s="1">
        <v>-15186000</v>
      </c>
      <c r="H88" s="1">
        <v>-17097000</v>
      </c>
      <c r="I88" s="1">
        <v>-51387000</v>
      </c>
      <c r="J88" s="1">
        <v>-95575000</v>
      </c>
      <c r="Q88" s="46" t="s">
        <v>129</v>
      </c>
      <c r="R88" s="47">
        <f>R85/(R86+R87)</f>
        <v>5.8909850152408245E-2</v>
      </c>
    </row>
    <row r="89" spans="1:18" ht="20" customHeight="1" x14ac:dyDescent="0.25">
      <c r="A89" s="14" t="s">
        <v>104</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Q89" s="44" t="s">
        <v>105</v>
      </c>
      <c r="R89" s="45">
        <f>J27</f>
        <v>149690000</v>
      </c>
    </row>
    <row r="90" spans="1:18" ht="20" x14ac:dyDescent="0.25">
      <c r="A90" s="5" t="s">
        <v>75</v>
      </c>
      <c r="B90" s="1" t="s">
        <v>91</v>
      </c>
      <c r="C90" s="1" t="s">
        <v>91</v>
      </c>
      <c r="D90" s="1" t="s">
        <v>91</v>
      </c>
      <c r="E90" s="1" t="s">
        <v>91</v>
      </c>
      <c r="F90" s="1" t="s">
        <v>91</v>
      </c>
      <c r="G90" s="1" t="s">
        <v>91</v>
      </c>
      <c r="H90" s="1" t="s">
        <v>91</v>
      </c>
      <c r="I90" s="1" t="s">
        <v>91</v>
      </c>
      <c r="J90" s="1" t="s">
        <v>91</v>
      </c>
      <c r="Q90" s="44" t="s">
        <v>19</v>
      </c>
      <c r="R90" s="45">
        <f>J25</f>
        <v>653424000</v>
      </c>
    </row>
    <row r="91" spans="1:18" ht="20" x14ac:dyDescent="0.25">
      <c r="A91" s="5" t="s">
        <v>76</v>
      </c>
      <c r="B91" s="1" t="s">
        <v>91</v>
      </c>
      <c r="C91" s="1" t="s">
        <v>91</v>
      </c>
      <c r="D91" s="1" t="s">
        <v>91</v>
      </c>
      <c r="E91" s="1">
        <v>-6989000</v>
      </c>
      <c r="F91" s="1">
        <v>-9607000</v>
      </c>
      <c r="G91" s="1">
        <v>-10073000</v>
      </c>
      <c r="H91" s="1">
        <v>-13355000</v>
      </c>
      <c r="I91" s="1">
        <v>-211000</v>
      </c>
      <c r="J91" s="1">
        <v>0</v>
      </c>
      <c r="Q91" s="46" t="s">
        <v>130</v>
      </c>
      <c r="R91" s="47">
        <f>R89/R90</f>
        <v>0.22908555547393422</v>
      </c>
    </row>
    <row r="92" spans="1:18" ht="20" x14ac:dyDescent="0.25">
      <c r="A92" s="5" t="s">
        <v>77</v>
      </c>
      <c r="B92" s="1" t="s">
        <v>91</v>
      </c>
      <c r="C92" s="1" t="s">
        <v>91</v>
      </c>
      <c r="D92" s="1" t="s">
        <v>91</v>
      </c>
      <c r="E92" s="1" t="s">
        <v>91</v>
      </c>
      <c r="F92" s="1">
        <v>6989000</v>
      </c>
      <c r="G92" s="1">
        <v>7275000</v>
      </c>
      <c r="H92" s="1">
        <v>13088000</v>
      </c>
      <c r="I92" s="1">
        <v>12427000</v>
      </c>
      <c r="J92" s="1">
        <v>0</v>
      </c>
      <c r="Q92" s="46" t="s">
        <v>131</v>
      </c>
      <c r="R92" s="47">
        <f>R88*(1-R91)</f>
        <v>4.5414454407357578E-2</v>
      </c>
    </row>
    <row r="93" spans="1:18" ht="19" x14ac:dyDescent="0.25">
      <c r="A93" s="5" t="s">
        <v>78</v>
      </c>
      <c r="B93" s="1">
        <v>-1180000</v>
      </c>
      <c r="C93" s="1">
        <v>-1626000</v>
      </c>
      <c r="D93" s="1">
        <v>-1923000</v>
      </c>
      <c r="E93" s="1">
        <v>-1273000</v>
      </c>
      <c r="F93" s="1">
        <v>-2769000</v>
      </c>
      <c r="G93" s="1">
        <v>-4773000</v>
      </c>
      <c r="H93" s="1">
        <v>-4795000</v>
      </c>
      <c r="I93" s="1">
        <v>-2959000</v>
      </c>
      <c r="J93" s="1">
        <v>-3523000</v>
      </c>
      <c r="Q93" s="68" t="s">
        <v>132</v>
      </c>
      <c r="R93" s="68"/>
    </row>
    <row r="94" spans="1:18" ht="20" x14ac:dyDescent="0.25">
      <c r="A94" s="6" t="s">
        <v>79</v>
      </c>
      <c r="B94" s="10">
        <v>-4533000</v>
      </c>
      <c r="C94" s="10">
        <v>-6862000</v>
      </c>
      <c r="D94" s="10">
        <v>-12460000</v>
      </c>
      <c r="E94" s="10">
        <v>-17947000</v>
      </c>
      <c r="F94" s="10">
        <v>-16428000</v>
      </c>
      <c r="G94" s="10">
        <v>-22757000</v>
      </c>
      <c r="H94" s="10">
        <v>-22159000</v>
      </c>
      <c r="I94" s="10">
        <v>-42130000</v>
      </c>
      <c r="J94" s="10">
        <v>-87691000</v>
      </c>
      <c r="Q94" s="44" t="s">
        <v>133</v>
      </c>
      <c r="R94" s="48">
        <f>[1]Treasuries!$C$8</f>
        <v>4.0410000000000001E-2</v>
      </c>
    </row>
    <row r="95" spans="1:18" ht="20" x14ac:dyDescent="0.25">
      <c r="A95" s="5" t="s">
        <v>80</v>
      </c>
      <c r="B95" s="1" t="s">
        <v>91</v>
      </c>
      <c r="C95" s="1" t="s">
        <v>91</v>
      </c>
      <c r="D95" s="1" t="s">
        <v>91</v>
      </c>
      <c r="E95" s="1" t="s">
        <v>91</v>
      </c>
      <c r="F95" s="1" t="s">
        <v>91</v>
      </c>
      <c r="G95" s="1" t="s">
        <v>91</v>
      </c>
      <c r="H95" s="1" t="s">
        <v>91</v>
      </c>
      <c r="I95" s="1" t="s">
        <v>91</v>
      </c>
      <c r="J95" s="1" t="s">
        <v>91</v>
      </c>
      <c r="Q95" s="44" t="s">
        <v>134</v>
      </c>
      <c r="R95" s="49" cm="1">
        <f t="array" ref="R95">_FV(A1,"Beta")</f>
        <v>1.3108</v>
      </c>
    </row>
    <row r="96" spans="1:18" ht="20" x14ac:dyDescent="0.25">
      <c r="A96" s="5" t="s">
        <v>81</v>
      </c>
      <c r="B96" s="1">
        <v>96717000</v>
      </c>
      <c r="C96" s="1">
        <v>39981000</v>
      </c>
      <c r="D96" s="1">
        <v>172000</v>
      </c>
      <c r="E96" s="1">
        <v>984000</v>
      </c>
      <c r="F96" s="1">
        <v>36153000</v>
      </c>
      <c r="G96" s="1">
        <v>37613000</v>
      </c>
      <c r="H96" s="1">
        <v>12832000</v>
      </c>
      <c r="I96" s="1">
        <v>105285000</v>
      </c>
      <c r="J96" s="1">
        <v>9926000</v>
      </c>
      <c r="Q96" s="44" t="s">
        <v>135</v>
      </c>
      <c r="R96" s="48">
        <v>8.4000000000000005E-2</v>
      </c>
    </row>
    <row r="97" spans="1:18" ht="20" x14ac:dyDescent="0.25">
      <c r="A97" s="5" t="s">
        <v>82</v>
      </c>
      <c r="B97" s="1" t="s">
        <v>91</v>
      </c>
      <c r="C97" s="1" t="s">
        <v>91</v>
      </c>
      <c r="D97" s="1" t="s">
        <v>91</v>
      </c>
      <c r="E97" s="1" t="s">
        <v>91</v>
      </c>
      <c r="F97" s="1">
        <v>-31035000</v>
      </c>
      <c r="G97" s="1">
        <v>-18323000</v>
      </c>
      <c r="H97" s="1" t="s">
        <v>91</v>
      </c>
      <c r="I97" s="1" t="s">
        <v>91</v>
      </c>
      <c r="J97" s="1" t="s">
        <v>91</v>
      </c>
      <c r="Q97" s="46" t="s">
        <v>136</v>
      </c>
      <c r="R97" s="47">
        <f>(R94)+((R95)*(R96-R94))</f>
        <v>9.7547772000000005E-2</v>
      </c>
    </row>
    <row r="98" spans="1:18" ht="19" x14ac:dyDescent="0.25">
      <c r="A98" s="5" t="s">
        <v>83</v>
      </c>
      <c r="B98" s="1" t="s">
        <v>91</v>
      </c>
      <c r="C98" s="1" t="s">
        <v>91</v>
      </c>
      <c r="D98" s="1" t="s">
        <v>91</v>
      </c>
      <c r="E98" s="1" t="s">
        <v>91</v>
      </c>
      <c r="F98" s="1" t="s">
        <v>91</v>
      </c>
      <c r="G98" s="1" t="s">
        <v>91</v>
      </c>
      <c r="H98" s="1" t="s">
        <v>91</v>
      </c>
      <c r="I98" s="1" t="s">
        <v>91</v>
      </c>
      <c r="J98" s="1">
        <v>0</v>
      </c>
      <c r="Q98" s="68" t="s">
        <v>137</v>
      </c>
      <c r="R98" s="68"/>
    </row>
    <row r="99" spans="1:18" ht="20" x14ac:dyDescent="0.25">
      <c r="A99" s="5" t="s">
        <v>84</v>
      </c>
      <c r="B99" s="1" t="s">
        <v>91</v>
      </c>
      <c r="C99" s="1" t="s">
        <v>91</v>
      </c>
      <c r="D99" s="1" t="s">
        <v>91</v>
      </c>
      <c r="E99" s="1" t="s">
        <v>91</v>
      </c>
      <c r="F99" s="1" t="s">
        <v>91</v>
      </c>
      <c r="G99" s="1">
        <v>-9932000</v>
      </c>
      <c r="H99" s="1">
        <v>-9439000</v>
      </c>
      <c r="I99" s="1">
        <v>-9045000</v>
      </c>
      <c r="J99" s="1">
        <v>-22144000</v>
      </c>
      <c r="Q99" s="44" t="s">
        <v>138</v>
      </c>
      <c r="R99" s="45">
        <f>R86+R87</f>
        <v>203073000</v>
      </c>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Q100" s="46" t="s">
        <v>139</v>
      </c>
      <c r="R100" s="47">
        <f>R99/R103</f>
        <v>4.4591459922856402E-3</v>
      </c>
    </row>
    <row r="101" spans="1:18" ht="20" x14ac:dyDescent="0.25">
      <c r="A101" s="5" t="s">
        <v>86</v>
      </c>
      <c r="B101" s="1">
        <v>134000</v>
      </c>
      <c r="C101" s="1">
        <v>-85000</v>
      </c>
      <c r="D101" s="1">
        <v>472000</v>
      </c>
      <c r="E101" s="1">
        <v>-786000</v>
      </c>
      <c r="F101" s="1">
        <v>-3709000</v>
      </c>
      <c r="G101" s="1">
        <v>-2584000</v>
      </c>
      <c r="H101" s="1">
        <v>-5783000</v>
      </c>
      <c r="I101" s="1">
        <v>4352000</v>
      </c>
      <c r="J101" s="1">
        <v>-14998000</v>
      </c>
      <c r="Q101" s="44" t="s">
        <v>140</v>
      </c>
      <c r="R101" s="50" cm="1">
        <f t="array" ref="R101">_FV(A1,"Market cap",TRUE)</f>
        <v>45337710000</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Q102" s="46" t="s">
        <v>141</v>
      </c>
      <c r="R102" s="47">
        <f>R101/R103</f>
        <v>0.99554085400771442</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Q103" s="46" t="s">
        <v>142</v>
      </c>
      <c r="R103" s="51">
        <f>R99+R101</f>
        <v>45540783000</v>
      </c>
    </row>
    <row r="104" spans="1:18" ht="20"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Q104" s="68" t="s">
        <v>143</v>
      </c>
      <c r="R104" s="68"/>
    </row>
    <row r="105" spans="1:18" ht="21" thickTop="1" x14ac:dyDescent="0.25">
      <c r="A105" s="14" t="s">
        <v>160</v>
      </c>
      <c r="B105" s="1">
        <f t="shared" ref="B105:I105" si="20">(B22*(1-$R$91))+B77+B88+B81</f>
        <v>138864647.53666839</v>
      </c>
      <c r="C105" s="1">
        <f t="shared" si="20"/>
        <v>129016771.40111169</v>
      </c>
      <c r="D105" s="1">
        <f t="shared" si="20"/>
        <v>120725584.22402605</v>
      </c>
      <c r="E105" s="1">
        <f t="shared" si="20"/>
        <v>210135783.63206738</v>
      </c>
      <c r="F105" s="1">
        <f t="shared" si="20"/>
        <v>352539162.91412622</v>
      </c>
      <c r="G105" s="1">
        <f t="shared" si="20"/>
        <v>505515974.78207111</v>
      </c>
      <c r="H105" s="1">
        <f t="shared" si="20"/>
        <v>985793855.35272658</v>
      </c>
      <c r="I105" s="1">
        <f t="shared" si="20"/>
        <v>1765547718.5074317</v>
      </c>
      <c r="J105" s="1">
        <f>(J22*(1-$R$91))+J77+J88+J81</f>
        <v>1903445558.4153628</v>
      </c>
      <c r="K105" s="28">
        <f>J105*(1+$R$106)</f>
        <v>2312525824.0892701</v>
      </c>
      <c r="L105" s="28">
        <f t="shared" ref="L105:O105" si="21">K105*(1+$R$106)</f>
        <v>2809523846.6036472</v>
      </c>
      <c r="M105" s="28">
        <f t="shared" si="21"/>
        <v>3413334529.0287428</v>
      </c>
      <c r="N105" s="28">
        <f t="shared" si="21"/>
        <v>4146913585.070385</v>
      </c>
      <c r="O105" s="28">
        <f t="shared" si="21"/>
        <v>5038150270.8832512</v>
      </c>
      <c r="P105" s="29" t="s">
        <v>163</v>
      </c>
      <c r="Q105" s="52" t="s">
        <v>106</v>
      </c>
      <c r="R105" s="53">
        <f>(R100*R92)+(R102*R97)</f>
        <v>9.7315301925792227E-2</v>
      </c>
    </row>
    <row r="106" spans="1:18" ht="19" x14ac:dyDescent="0.25">
      <c r="A106" s="14" t="s">
        <v>161</v>
      </c>
      <c r="B106" s="1"/>
      <c r="C106" s="15">
        <f t="shared" ref="C106:J106" si="22">(C107/B107)-1</f>
        <v>-6.7140415452153546E-2</v>
      </c>
      <c r="D106" s="15">
        <f t="shared" si="22"/>
        <v>0.34593571341685925</v>
      </c>
      <c r="E106" s="15">
        <f t="shared" si="22"/>
        <v>7.0854444500929148E-2</v>
      </c>
      <c r="F106" s="15">
        <f t="shared" si="22"/>
        <v>0.95268035636106618</v>
      </c>
      <c r="G106" s="15">
        <f t="shared" si="22"/>
        <v>0.37629087372871051</v>
      </c>
      <c r="H106" s="15">
        <f t="shared" si="22"/>
        <v>0.95242945970135184</v>
      </c>
      <c r="I106" s="15">
        <f t="shared" si="22"/>
        <v>0.77511045433297654</v>
      </c>
      <c r="J106" s="15">
        <f t="shared" si="22"/>
        <v>0.13206478649903719</v>
      </c>
      <c r="K106" s="39">
        <v>1000000000</v>
      </c>
      <c r="L106" s="39">
        <v>1100000000</v>
      </c>
      <c r="M106" s="39">
        <v>1504000000</v>
      </c>
      <c r="N106" s="39">
        <v>1948000000</v>
      </c>
      <c r="O106" s="39">
        <v>2310000000</v>
      </c>
      <c r="P106" s="29" t="s">
        <v>164</v>
      </c>
      <c r="Q106" s="54" t="s">
        <v>144</v>
      </c>
      <c r="R106" s="55">
        <f>(SUM(K4:O4)/5)</f>
        <v>0.21491566378944435</v>
      </c>
    </row>
    <row r="107" spans="1:18" ht="19" x14ac:dyDescent="0.25">
      <c r="A107" s="41" t="s">
        <v>162</v>
      </c>
      <c r="B107" s="1">
        <v>141003000</v>
      </c>
      <c r="C107" s="1">
        <v>131536000</v>
      </c>
      <c r="D107" s="1">
        <v>177039000</v>
      </c>
      <c r="E107" s="1">
        <v>189583000</v>
      </c>
      <c r="F107" s="1">
        <v>370195000</v>
      </c>
      <c r="G107" s="1">
        <v>509496000</v>
      </c>
      <c r="H107" s="1">
        <v>994755000</v>
      </c>
      <c r="I107" s="1">
        <v>1765800000</v>
      </c>
      <c r="J107" s="1">
        <v>1999000000</v>
      </c>
      <c r="K107" s="29"/>
      <c r="L107" s="29"/>
      <c r="M107" s="29"/>
      <c r="N107" s="29"/>
      <c r="O107" s="40">
        <f>O106*(1+R107)/(R108-R107)</f>
        <v>32742032971.523975</v>
      </c>
      <c r="P107" s="30" t="s">
        <v>145</v>
      </c>
      <c r="Q107" s="56" t="s">
        <v>146</v>
      </c>
      <c r="R107" s="57">
        <v>2.5000000000000001E-2</v>
      </c>
    </row>
    <row r="108" spans="1:18" ht="19" x14ac:dyDescent="0.25">
      <c r="K108" s="40">
        <f t="shared" ref="K108:N108" si="23">K107+K106</f>
        <v>1000000000</v>
      </c>
      <c r="L108" s="40">
        <f t="shared" si="23"/>
        <v>1100000000</v>
      </c>
      <c r="M108" s="40">
        <f t="shared" si="23"/>
        <v>1504000000</v>
      </c>
      <c r="N108" s="40">
        <f t="shared" si="23"/>
        <v>1948000000</v>
      </c>
      <c r="O108" s="40">
        <f>O107+O106</f>
        <v>35052032971.523972</v>
      </c>
      <c r="P108" s="30" t="s">
        <v>142</v>
      </c>
      <c r="Q108" s="58" t="s">
        <v>147</v>
      </c>
      <c r="R108" s="55">
        <f>R105</f>
        <v>9.7315301925792227E-2</v>
      </c>
    </row>
    <row r="109" spans="1:18" ht="19" x14ac:dyDescent="0.25">
      <c r="K109" s="65" t="s">
        <v>148</v>
      </c>
      <c r="L109" s="65"/>
    </row>
    <row r="110" spans="1:18" ht="20" x14ac:dyDescent="0.25">
      <c r="K110" s="59" t="s">
        <v>149</v>
      </c>
      <c r="L110" s="50">
        <f>NPV(R108,K108,L108,M108,N108,O108)</f>
        <v>26338837547.816505</v>
      </c>
    </row>
    <row r="111" spans="1:18" ht="20" x14ac:dyDescent="0.25">
      <c r="K111" s="59" t="s">
        <v>150</v>
      </c>
      <c r="L111" s="50">
        <f>J40</f>
        <v>5964798000</v>
      </c>
    </row>
    <row r="112" spans="1:18" ht="20" x14ac:dyDescent="0.25">
      <c r="K112" s="59" t="s">
        <v>138</v>
      </c>
      <c r="L112" s="50">
        <f>R99</f>
        <v>203073000</v>
      </c>
    </row>
    <row r="113" spans="11:12" ht="20" x14ac:dyDescent="0.25">
      <c r="K113" s="59" t="s">
        <v>151</v>
      </c>
      <c r="L113" s="50">
        <f>L110+L111-L112</f>
        <v>32100562547.816505</v>
      </c>
    </row>
    <row r="114" spans="11:12" ht="20" x14ac:dyDescent="0.25">
      <c r="K114" s="59" t="s">
        <v>152</v>
      </c>
      <c r="L114" s="59">
        <f>J34*(1+(5*P16))</f>
        <v>31444645.352630943</v>
      </c>
    </row>
    <row r="115" spans="11:12" ht="20" x14ac:dyDescent="0.25">
      <c r="K115" s="60" t="s">
        <v>153</v>
      </c>
      <c r="L115" s="61">
        <f>L113/L114</f>
        <v>1020.8594241668139</v>
      </c>
    </row>
    <row r="116" spans="11:12" ht="20" x14ac:dyDescent="0.25">
      <c r="K116" s="59" t="s">
        <v>154</v>
      </c>
      <c r="L116" s="62" cm="1">
        <f t="array" ref="L116">_FV(A1,"Price")</f>
        <v>1462</v>
      </c>
    </row>
    <row r="117" spans="11:12" ht="20" x14ac:dyDescent="0.25">
      <c r="K117" s="60" t="s">
        <v>155</v>
      </c>
      <c r="L117" s="63">
        <f>L115/L116-1</f>
        <v>-0.30173773996797948</v>
      </c>
    </row>
    <row r="118" spans="11:12" ht="20" x14ac:dyDescent="0.25">
      <c r="K118" s="60" t="s">
        <v>156</v>
      </c>
      <c r="L118" s="64" t="str">
        <f>IF(L115&gt;L116,"BUY","SELL")</f>
        <v>SELL</v>
      </c>
    </row>
  </sheetData>
  <mergeCells count="6">
    <mergeCell ref="K109:L109"/>
    <mergeCell ref="Q83:R83"/>
    <mergeCell ref="Q84:R84"/>
    <mergeCell ref="Q93:R93"/>
    <mergeCell ref="Q98:R98"/>
    <mergeCell ref="Q104:R10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revenue_proj/" xr:uid="{A2CAAA8B-B36F-3E4E-9B1A-027FF9D13D05}"/>
    <hyperlink ref="P106" r:id="rId21" xr:uid="{C88F5793-6C9E-174F-BC02-3887840C2D1A}"/>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2023-03-14T03:06:16Z</dcterms:created>
  <dcterms:modified xsi:type="dcterms:W3CDTF">2023-07-09T11:29:58Z</dcterms:modified>
</cp:coreProperties>
</file>