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8F1E9E6-AFBC-AD4B-9779-48C39B439E9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F105" i="1"/>
  <c r="G105" i="1" s="1"/>
  <c r="H105" i="1" s="1"/>
  <c r="I105" i="1" s="1"/>
  <c r="J105" i="1" s="1"/>
  <c r="B105" i="1"/>
  <c r="C105" i="1"/>
  <c r="D105" i="1"/>
  <c r="E105"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N19" i="1" l="1"/>
  <c r="M22" i="1"/>
  <c r="N22" i="1"/>
  <c r="M19" i="1"/>
  <c r="N16" i="1"/>
  <c r="L19" i="1"/>
  <c r="L16" i="1"/>
  <c r="M103" i="1"/>
  <c r="M102" i="1" s="1"/>
  <c r="G112" i="1"/>
  <c r="M100" i="1" l="1"/>
  <c r="E7" i="1" l="1"/>
  <c r="K7" i="1" s="1"/>
  <c r="K16" i="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D107" i="1"/>
  <c r="D106" i="1" s="1"/>
  <c r="E107" i="1"/>
  <c r="E48" i="1"/>
  <c r="E40" i="1"/>
  <c r="E32" i="1"/>
  <c r="E31" i="1"/>
  <c r="E30" i="1"/>
  <c r="E26" i="1"/>
  <c r="E23" i="1"/>
  <c r="E21" i="1"/>
  <c r="E15" i="1"/>
  <c r="E16" i="1" s="1"/>
  <c r="E12" i="1"/>
  <c r="E13" i="1" s="1"/>
  <c r="E6" i="1"/>
  <c r="E106" i="1" l="1"/>
  <c r="N4" i="1" s="1"/>
  <c r="M94" i="1" l="1"/>
  <c r="M97" i="1" s="1"/>
  <c r="M105" i="1" s="1"/>
  <c r="M108" i="1" s="1"/>
  <c r="J107" i="1" l="1"/>
  <c r="J108" i="1" s="1"/>
  <c r="G110" i="1" s="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<sst xmlns="http://schemas.openxmlformats.org/spreadsheetml/2006/main" count="268" uniqueCount="167">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</sst>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3"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4" fontId="9" fillId="6" borderId="0" xfId="0" applyNumberFormat="1" applyFont="1" applyFill="1"/>
    <xf numFmtId="0" fontId="0" fillId="6" borderId="0" xfId="0" applyFill="1"/>
    <xf numFmtId="0" fontId="0" fillId="6" borderId="0" xfId="0" applyFill="1" applyAlignment="1">
      <alignment horizontal="lef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0" fillId="4" borderId="0" xfId="0" applyNumberFormat="1" applyFont="1" applyFill="1"/>
    <xf numFmtId="167" fontId="1" fillId="6" borderId="0" xfId="0" applyNumberFormat="1" applyFont="1" applyFill="1"/>
    <xf numFmtId="9" fontId="10" fillId="4" borderId="0" xfId="1" applyFont="1" applyFill="1" applyBorder="1"/>
    <xf numFmtId="0" fontId="10" fillId="4" borderId="0" xfId="0" applyFont="1" applyFill="1" applyAlignment="1">
      <alignment horizontal="right"/>
    </xf>
    <xf numFmtId="0" fontId="11" fillId="6" borderId="0" xfId="0" applyFont="1" applyFill="1" applyAlignment="1">
      <alignment horizontal="left" vertical="center" wrapText="1"/>
    </xf>
    <xf numFmtId="164" fontId="11" fillId="6" borderId="0" xfId="0" applyNumberFormat="1" applyFont="1" applyFill="1"/>
    <xf numFmtId="0" fontId="10" fillId="6" borderId="0" xfId="0" applyFont="1" applyFill="1" applyAlignment="1">
      <alignment horizontal="left" vertical="center" wrapText="1"/>
    </xf>
    <xf numFmtId="10" fontId="10" fillId="6" borderId="0" xfId="0" applyNumberFormat="1" applyFont="1" applyFill="1"/>
    <xf numFmtId="10" fontId="11" fillId="6" borderId="0" xfId="0" applyNumberFormat="1" applyFont="1" applyFill="1"/>
    <xf numFmtId="39" fontId="11" fillId="6" borderId="0" xfId="0" applyNumberFormat="1" applyFont="1" applyFill="1"/>
    <xf numFmtId="164" fontId="10" fillId="6" borderId="0" xfId="0" applyNumberFormat="1" applyFont="1" applyFill="1"/>
    <xf numFmtId="0" fontId="10" fillId="4" borderId="0" xfId="0" applyFont="1" applyFill="1" applyAlignment="1">
      <alignment horizontal="left" vertical="center" wrapText="1"/>
    </xf>
    <xf numFmtId="10" fontId="10" fillId="4" borderId="0" xfId="0" applyNumberFormat="1" applyFont="1" applyFill="1"/>
    <xf numFmtId="9" fontId="15" fillId="6" borderId="0" xfId="0" applyNumberFormat="1" applyFont="1" applyFill="1" applyAlignment="1">
      <alignment wrapText="1"/>
    </xf>
    <xf numFmtId="10" fontId="1" fillId="6" borderId="0" xfId="0" applyNumberFormat="1" applyFont="1" applyFill="1" applyAlignment="1">
      <alignment horizontal="right" vertical="center"/>
    </xf>
    <xf numFmtId="0" fontId="15" fillId="7" borderId="0" xfId="0" applyFont="1" applyFill="1" applyAlignment="1">
      <alignment wrapText="1"/>
    </xf>
    <xf numFmtId="10" fontId="1" fillId="7" borderId="0" xfId="0" applyNumberFormat="1" applyFont="1" applyFill="1" applyAlignment="1">
      <alignment horizontal="right" vertical="center"/>
    </xf>
    <xf numFmtId="0" fontId="15"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6" fillId="4" borderId="0" xfId="0" applyFont="1" applyFill="1" applyAlignment="1">
      <alignment horizontal="center"/>
    </xf>
    <xf numFmtId="0" fontId="10" fillId="5" borderId="0" xfId="0" applyFont="1" applyFill="1" applyAlignment="1">
      <alignment horizontal="center" vertical="center" wrapText="1"/>
    </xf>
    <xf numFmtId="0" fontId="10"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33338</xdr:rowOff>
    </xdr:from>
    <xdr:to>
      <xdr:col>13</xdr:col>
      <xdr:colOff>0</xdr:colOff>
      <xdr:row>128</xdr:row>
      <xdr:rowOff>1</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2.5779999999999998</v>
    <v>-0.8</v>
    <v>-1.6084000000000001E-2</v>
    <v>-0.15</v>
    <v>-3.065E-3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50.58</v>
    <v>Software &amp; IT Services</v>
    <v>Stock</v>
    <v>45114.980862916404</v>
    <v>0</v>
    <v>48.8</v>
    <v>7478032000</v>
    <v>Gitlab Inc.</v>
    <v>Gitlab Inc.</v>
    <v>50</v>
    <v>49.74</v>
    <v>48.94</v>
    <v>48.79</v>
    <v>152800000</v>
    <v>GTLB</v>
    <v>Gitlab Inc. (XNAS:GTLB)</v>
    <v>1259675</v>
    <v>3895010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6" activePane="bottomRight" state="frozen"/>
      <selection pane="topRight"/>
      <selection pane="bottomLeft"/>
      <selection pane="bottomRight" activeCell="G100" sqref="G100"/>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93</v>
      </c>
      <c r="L3" s="17" t="s">
        <v>94</v>
      </c>
      <c r="M3" s="17" t="s">
        <v>95</v>
      </c>
      <c r="N3" s="17" t="s">
        <v>96</v>
      </c>
    </row>
    <row r="4" spans="1:38" ht="19" x14ac:dyDescent="0.25">
      <c r="A4" s="24" t="s">
        <v>114</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115</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116</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30">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109</v>
      </c>
      <c r="L15" s="17" t="s">
        <v>110</v>
      </c>
      <c r="M15" s="17" t="s">
        <v>111</v>
      </c>
      <c r="N15" s="17" t="s">
        <v>112</v>
      </c>
    </row>
    <row r="16" spans="1:38" ht="19" x14ac:dyDescent="0.25">
      <c r="A16" s="5" t="s">
        <v>11</v>
      </c>
      <c r="B16" s="1">
        <v>209594000</v>
      </c>
      <c r="C16" s="1">
        <v>366060000</v>
      </c>
      <c r="D16" s="1">
        <v>381610000</v>
      </c>
      <c r="E16" s="1">
        <f>E15+E5</f>
        <v>635747000</v>
      </c>
      <c r="K16" s="22">
        <f>(E35+D35+C35+B35)/4</f>
        <v>3.5630976026606309E-2</v>
      </c>
      <c r="L16" s="32">
        <f>M101/E3</f>
        <v>17.624397831722838</v>
      </c>
      <c r="M16" s="32">
        <f>M101/E28</f>
        <v>-45.61833998267511</v>
      </c>
      <c r="N16" s="31">
        <f>M101/E107</f>
        <v>-89.58087160689044</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113</v>
      </c>
      <c r="L18" s="17" t="s">
        <v>156</v>
      </c>
      <c r="M18" s="17" t="s">
        <v>157</v>
      </c>
      <c r="N18" s="17" t="s">
        <v>164</v>
      </c>
    </row>
    <row r="19" spans="1:14" ht="19" x14ac:dyDescent="0.25">
      <c r="A19" s="6" t="s">
        <v>14</v>
      </c>
      <c r="B19" s="10">
        <v>-129541000</v>
      </c>
      <c r="C19" s="10">
        <v>-189140000</v>
      </c>
      <c r="D19" s="10">
        <v>-154705000</v>
      </c>
      <c r="E19" s="10">
        <v>-211411000</v>
      </c>
      <c r="F19" s="36">
        <v>-55971000</v>
      </c>
      <c r="G19" s="36">
        <v>-6754000</v>
      </c>
      <c r="H19" s="36">
        <v>48855000</v>
      </c>
      <c r="I19" s="36">
        <v>172900000</v>
      </c>
      <c r="J19" s="36">
        <v>298100000</v>
      </c>
      <c r="K19" s="23">
        <f>E40-E56-E61</f>
        <v>936651000</v>
      </c>
      <c r="L19" s="32">
        <f>M101/F3</f>
        <v>14.04852902498591</v>
      </c>
      <c r="M19" s="33">
        <f>M101/F28</f>
        <v>-182.03583252190847</v>
      </c>
      <c r="N19" s="31">
        <f>M101/F106</f>
        <v>5296.0566572237958</v>
      </c>
    </row>
    <row r="20" spans="1:14" ht="19" customHeight="1" x14ac:dyDescent="0.25">
      <c r="A20" s="24" t="s">
        <v>117</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37">
        <f t="shared" ref="F21:J21" si="4">F19/F3</f>
        <v>-0.10514935186924666</v>
      </c>
      <c r="G21" s="37">
        <f t="shared" si="4"/>
        <v>-9.8454810495626818E-3</v>
      </c>
      <c r="H21" s="37">
        <f t="shared" si="4"/>
        <v>5.4556113902847571E-2</v>
      </c>
      <c r="I21" s="37">
        <f t="shared" si="4"/>
        <v>0.12951310861423221</v>
      </c>
      <c r="J21" s="37">
        <f t="shared" si="4"/>
        <v>0.17957831325301205</v>
      </c>
      <c r="M21" s="16" t="s">
        <v>165</v>
      </c>
      <c r="N21" s="17" t="s">
        <v>166</v>
      </c>
    </row>
    <row r="22" spans="1:14" ht="19" x14ac:dyDescent="0.25">
      <c r="A22" s="6" t="s">
        <v>16</v>
      </c>
      <c r="B22" s="10">
        <v>-128367000</v>
      </c>
      <c r="C22" s="10">
        <v>-213884000</v>
      </c>
      <c r="D22" s="10">
        <v>-128957000</v>
      </c>
      <c r="E22" s="10">
        <v>-211411000</v>
      </c>
      <c r="M22" s="41">
        <f>(-1*E98)/M101</f>
        <v>0</v>
      </c>
      <c r="N22" s="42">
        <f>E107/M101</f>
        <v>-1.1163097456657046E-2</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8">
        <v>-41080000</v>
      </c>
      <c r="G28" s="38">
        <v>2900000</v>
      </c>
      <c r="H28" s="38">
        <v>65382000</v>
      </c>
      <c r="I28" s="38">
        <v>264800000</v>
      </c>
      <c r="J28" s="38">
        <v>468200000</v>
      </c>
    </row>
    <row r="29" spans="1:14" ht="20" customHeight="1" thickTop="1" x14ac:dyDescent="0.25">
      <c r="A29" s="24" t="s">
        <v>118</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4" ht="19" x14ac:dyDescent="0.25">
      <c r="A30" s="5" t="s">
        <v>23</v>
      </c>
      <c r="B30" s="2">
        <v>-1.6095999999999999</v>
      </c>
      <c r="C30" s="2">
        <v>-1.2629999999999999</v>
      </c>
      <c r="D30" s="2">
        <v>-0.61399999999999999</v>
      </c>
      <c r="E30" s="2">
        <f>E28/E3</f>
        <v>-0.38634456752297902</v>
      </c>
      <c r="F30" s="37">
        <f t="shared" ref="F30:J30" si="6">F28/F3</f>
        <v>-7.7174525643434147E-2</v>
      </c>
      <c r="G30" s="37">
        <f t="shared" si="6"/>
        <v>4.2274052478134113E-3</v>
      </c>
      <c r="H30" s="37">
        <f t="shared" si="6"/>
        <v>7.3011725293132324E-2</v>
      </c>
      <c r="I30" s="37">
        <f t="shared" si="6"/>
        <v>0.19835205992509364</v>
      </c>
      <c r="J30" s="37">
        <f t="shared" si="6"/>
        <v>0.28204819277108434</v>
      </c>
    </row>
    <row r="31" spans="1:14" ht="19" x14ac:dyDescent="0.25">
      <c r="A31" s="5" t="s">
        <v>24</v>
      </c>
      <c r="B31" s="12">
        <v>-1.01</v>
      </c>
      <c r="C31" s="12">
        <v>-1.48</v>
      </c>
      <c r="D31" s="12">
        <v>-1.21</v>
      </c>
      <c r="E31" s="12">
        <f>E28/E33</f>
        <v>-1.104570539125513</v>
      </c>
      <c r="F31" s="39">
        <v>-0.27</v>
      </c>
      <c r="G31" s="39">
        <v>1.9E-2</v>
      </c>
      <c r="H31" s="39">
        <v>0.43</v>
      </c>
      <c r="I31" s="39">
        <v>1.73</v>
      </c>
      <c r="J31" s="39">
        <v>3.06</v>
      </c>
    </row>
    <row r="32" spans="1:14"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119</v>
      </c>
      <c r="B35" s="1">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120</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5" t="s">
        <v>122</v>
      </c>
      <c r="M83" s="66"/>
    </row>
    <row r="84" spans="1:13" ht="19" customHeight="1" x14ac:dyDescent="0.25">
      <c r="A84" s="5" t="s">
        <v>47</v>
      </c>
      <c r="B84" s="1">
        <v>914000</v>
      </c>
      <c r="C84" s="1">
        <v>1474000</v>
      </c>
      <c r="D84" s="1">
        <v>1877000</v>
      </c>
      <c r="E84" s="1">
        <v>5184000</v>
      </c>
      <c r="L84" s="67" t="s">
        <v>123</v>
      </c>
      <c r="M84" s="67"/>
    </row>
    <row r="85" spans="1:13" ht="20" x14ac:dyDescent="0.25">
      <c r="A85" s="5" t="s">
        <v>71</v>
      </c>
      <c r="B85" s="1">
        <v>32518000</v>
      </c>
      <c r="C85" s="1">
        <v>22891000</v>
      </c>
      <c r="D85" s="1">
        <v>56254000</v>
      </c>
      <c r="E85" s="1"/>
      <c r="L85" s="50" t="s">
        <v>124</v>
      </c>
      <c r="M85" s="51">
        <f>E17</f>
        <v>14496000</v>
      </c>
    </row>
    <row r="86" spans="1:13" ht="20" x14ac:dyDescent="0.25">
      <c r="A86" s="5" t="s">
        <v>72</v>
      </c>
      <c r="B86" s="1">
        <v>12339000</v>
      </c>
      <c r="C86" s="1">
        <v>-5395000</v>
      </c>
      <c r="D86" s="1">
        <v>51532000</v>
      </c>
      <c r="E86" s="1">
        <v>-594000</v>
      </c>
      <c r="L86" s="50" t="s">
        <v>125</v>
      </c>
      <c r="M86" s="51">
        <f>E56</f>
        <v>0</v>
      </c>
    </row>
    <row r="87" spans="1:13" ht="20" x14ac:dyDescent="0.25">
      <c r="A87" s="6" t="s">
        <v>73</v>
      </c>
      <c r="B87" s="10">
        <v>-60166000</v>
      </c>
      <c r="C87" s="10">
        <v>-73580000</v>
      </c>
      <c r="D87" s="10">
        <v>-49814000</v>
      </c>
      <c r="E87" s="10">
        <v>-77408000</v>
      </c>
      <c r="L87" s="50" t="s">
        <v>126</v>
      </c>
      <c r="M87" s="51">
        <f>E61</f>
        <v>0</v>
      </c>
    </row>
    <row r="88" spans="1:13" ht="20" x14ac:dyDescent="0.25">
      <c r="A88" s="5" t="s">
        <v>74</v>
      </c>
      <c r="B88" s="1">
        <v>0</v>
      </c>
      <c r="C88" s="1">
        <v>0</v>
      </c>
      <c r="D88" s="1">
        <v>-3541000</v>
      </c>
      <c r="E88" s="1">
        <v>-6070000</v>
      </c>
      <c r="L88" s="52" t="s">
        <v>127</v>
      </c>
      <c r="M88" s="53">
        <v>0</v>
      </c>
    </row>
    <row r="89" spans="1:13" ht="20" customHeight="1" x14ac:dyDescent="0.25">
      <c r="A89" s="24" t="s">
        <v>121</v>
      </c>
      <c r="B89" s="21">
        <f t="shared" ref="B89:E89" si="9">(-1*B88)/B3</f>
        <v>0</v>
      </c>
      <c r="C89" s="21">
        <f t="shared" si="9"/>
        <v>0</v>
      </c>
      <c r="D89" s="21">
        <f t="shared" si="9"/>
        <v>1.4015269955235046E-2</v>
      </c>
      <c r="E89" s="21">
        <f t="shared" si="9"/>
        <v>1.4305915625736507E-2</v>
      </c>
      <c r="F89" s="21"/>
      <c r="G89" s="21"/>
      <c r="L89" s="50" t="s">
        <v>128</v>
      </c>
      <c r="M89" s="51">
        <f>E27</f>
        <v>2898000</v>
      </c>
    </row>
    <row r="90" spans="1:13" ht="20" x14ac:dyDescent="0.25">
      <c r="A90" s="5" t="s">
        <v>75</v>
      </c>
      <c r="B90" s="1" t="s">
        <v>91</v>
      </c>
      <c r="C90" s="1" t="s">
        <v>91</v>
      </c>
      <c r="D90" s="1">
        <v>-323000</v>
      </c>
      <c r="E90" s="1">
        <v>0</v>
      </c>
      <c r="L90" s="50" t="s">
        <v>19</v>
      </c>
      <c r="M90" s="51">
        <f>E25</f>
        <v>-177798000</v>
      </c>
    </row>
    <row r="91" spans="1:13" ht="19" customHeight="1" x14ac:dyDescent="0.25">
      <c r="A91" s="5" t="s">
        <v>76</v>
      </c>
      <c r="B91" s="1" t="s">
        <v>91</v>
      </c>
      <c r="C91" s="1" t="s">
        <v>91</v>
      </c>
      <c r="D91" s="1">
        <v>-100031000</v>
      </c>
      <c r="E91" s="1">
        <v>-821622000</v>
      </c>
      <c r="L91" s="52" t="s">
        <v>129</v>
      </c>
      <c r="M91" s="53">
        <f>M89/M90</f>
        <v>-1.6299395943711402E-2</v>
      </c>
    </row>
    <row r="92" spans="1:13" ht="19" customHeight="1" x14ac:dyDescent="0.25">
      <c r="A92" s="5" t="s">
        <v>77</v>
      </c>
      <c r="B92" s="1" t="s">
        <v>91</v>
      </c>
      <c r="C92" s="1" t="s">
        <v>91</v>
      </c>
      <c r="D92" s="1">
        <v>50000000</v>
      </c>
      <c r="E92" s="1">
        <v>231626000</v>
      </c>
      <c r="L92" s="52" t="s">
        <v>130</v>
      </c>
      <c r="M92" s="53">
        <f>M88*(1-M91)</f>
        <v>0</v>
      </c>
    </row>
    <row r="93" spans="1:13" ht="19" customHeight="1" x14ac:dyDescent="0.25">
      <c r="A93" s="5" t="s">
        <v>78</v>
      </c>
      <c r="B93" s="1" t="s">
        <v>91</v>
      </c>
      <c r="C93" s="1">
        <v>-842000</v>
      </c>
      <c r="D93" s="1" t="s">
        <v>91</v>
      </c>
      <c r="E93" s="1">
        <v>-9620000</v>
      </c>
      <c r="L93" s="68" t="s">
        <v>131</v>
      </c>
      <c r="M93" s="68"/>
    </row>
    <row r="94" spans="1:13" ht="20" x14ac:dyDescent="0.25">
      <c r="A94" s="6" t="s">
        <v>79</v>
      </c>
      <c r="B94" s="10" t="s">
        <v>91</v>
      </c>
      <c r="C94" s="10">
        <v>-842000</v>
      </c>
      <c r="D94" s="10">
        <v>-53895000</v>
      </c>
      <c r="E94" s="10">
        <v>-605686000</v>
      </c>
      <c r="L94" s="50" t="s">
        <v>132</v>
      </c>
      <c r="M94" s="54">
        <f>[1]Treasuries!$C$8</f>
        <v>4.0410000000000001E-2</v>
      </c>
    </row>
    <row r="95" spans="1:13" ht="20" x14ac:dyDescent="0.25">
      <c r="A95" s="5" t="s">
        <v>80</v>
      </c>
      <c r="B95" s="1" t="s">
        <v>91</v>
      </c>
      <c r="C95" s="1" t="s">
        <v>91</v>
      </c>
      <c r="D95" s="1" t="s">
        <v>91</v>
      </c>
      <c r="E95" s="1" t="s">
        <v>91</v>
      </c>
      <c r="L95" s="50" t="s">
        <v>133</v>
      </c>
      <c r="M95" s="55" cm="1">
        <f t="array" ref="M95">_FV(A1,"Beta")</f>
        <v>2.5779999999999998</v>
      </c>
    </row>
    <row r="96" spans="1:13" ht="19" customHeight="1" x14ac:dyDescent="0.25">
      <c r="A96" s="5" t="s">
        <v>81</v>
      </c>
      <c r="B96" s="1" t="s">
        <v>91</v>
      </c>
      <c r="C96" s="1" t="s">
        <v>91</v>
      </c>
      <c r="D96" s="1">
        <v>654552000</v>
      </c>
      <c r="E96" s="1">
        <v>38983000</v>
      </c>
      <c r="L96" s="50" t="s">
        <v>134</v>
      </c>
      <c r="M96" s="54">
        <v>8.4000000000000005E-2</v>
      </c>
    </row>
    <row r="97" spans="1:13" ht="19" customHeight="1" x14ac:dyDescent="0.25">
      <c r="A97" s="5" t="s">
        <v>82</v>
      </c>
      <c r="B97" s="1" t="s">
        <v>91</v>
      </c>
      <c r="C97" s="1">
        <v>-820000</v>
      </c>
      <c r="D97" s="1">
        <v>-590000</v>
      </c>
      <c r="E97" s="1">
        <v>0</v>
      </c>
      <c r="L97" s="52" t="s">
        <v>135</v>
      </c>
      <c r="M97" s="53">
        <f>(M94)+((M95)*(M96-M94))</f>
        <v>0.15278501999999999</v>
      </c>
    </row>
    <row r="98" spans="1:13" ht="19" customHeight="1" x14ac:dyDescent="0.25">
      <c r="A98" s="5" t="s">
        <v>83</v>
      </c>
      <c r="B98" s="1" t="s">
        <v>91</v>
      </c>
      <c r="C98" s="1" t="s">
        <v>91</v>
      </c>
      <c r="D98" s="1" t="s">
        <v>91</v>
      </c>
      <c r="E98" s="1">
        <v>0</v>
      </c>
      <c r="L98" s="68" t="s">
        <v>136</v>
      </c>
      <c r="M98" s="68"/>
    </row>
    <row r="99" spans="1:13" ht="20" x14ac:dyDescent="0.25">
      <c r="A99" s="5" t="s">
        <v>84</v>
      </c>
      <c r="B99" s="1">
        <v>271265000</v>
      </c>
      <c r="C99" s="1">
        <v>13765000</v>
      </c>
      <c r="D99" s="1">
        <v>47223000</v>
      </c>
      <c r="E99" s="1">
        <v>64863000</v>
      </c>
      <c r="L99" s="50" t="s">
        <v>137</v>
      </c>
      <c r="M99" s="51">
        <f>M86+M87</f>
        <v>0</v>
      </c>
    </row>
    <row r="100" spans="1:13" ht="20" x14ac:dyDescent="0.25">
      <c r="A100" s="6" t="s">
        <v>85</v>
      </c>
      <c r="B100" s="10">
        <v>271265000</v>
      </c>
      <c r="C100" s="10">
        <v>12945000</v>
      </c>
      <c r="D100" s="10">
        <v>701185000</v>
      </c>
      <c r="E100" s="10">
        <v>97482000</v>
      </c>
      <c r="L100" s="52" t="s">
        <v>138</v>
      </c>
      <c r="M100" s="53">
        <f>M99/M103</f>
        <v>0</v>
      </c>
    </row>
    <row r="101" spans="1:13" ht="20" x14ac:dyDescent="0.25">
      <c r="A101" s="5" t="s">
        <v>86</v>
      </c>
      <c r="B101" s="1">
        <v>-226000</v>
      </c>
      <c r="C101" s="1">
        <v>1000000</v>
      </c>
      <c r="D101" s="1">
        <v>6846000</v>
      </c>
      <c r="E101" s="1">
        <v>-3658000</v>
      </c>
      <c r="L101" s="50" t="s">
        <v>139</v>
      </c>
      <c r="M101" s="44" cm="1">
        <f t="array" ref="M101">_FV(A1,"Market cap",TRUE)</f>
        <v>7478032000</v>
      </c>
    </row>
    <row r="102" spans="1:13" ht="19" customHeight="1" x14ac:dyDescent="0.25">
      <c r="A102" s="6" t="s">
        <v>87</v>
      </c>
      <c r="B102" s="10">
        <v>210873000</v>
      </c>
      <c r="C102" s="10">
        <v>-60477000</v>
      </c>
      <c r="D102" s="10">
        <v>604322000</v>
      </c>
      <c r="E102" s="10">
        <v>-589270000</v>
      </c>
      <c r="L102" s="52" t="s">
        <v>140</v>
      </c>
      <c r="M102" s="53">
        <f>M101/M103</f>
        <v>1</v>
      </c>
    </row>
    <row r="103" spans="1:13" ht="19" customHeight="1" x14ac:dyDescent="0.25">
      <c r="A103" s="5" t="s">
        <v>88</v>
      </c>
      <c r="B103" s="1">
        <v>132454000</v>
      </c>
      <c r="C103" s="1">
        <v>343327000</v>
      </c>
      <c r="D103" s="1">
        <v>282850000</v>
      </c>
      <c r="E103" s="1">
        <v>887172000</v>
      </c>
      <c r="L103" s="52" t="s">
        <v>141</v>
      </c>
      <c r="M103" s="56">
        <f>M99+M101</f>
        <v>7478032000</v>
      </c>
    </row>
    <row r="104" spans="1:13" ht="20" customHeight="1" thickBot="1" x14ac:dyDescent="0.3">
      <c r="A104" s="7" t="s">
        <v>89</v>
      </c>
      <c r="B104" s="11">
        <v>343327000</v>
      </c>
      <c r="C104" s="11">
        <v>282850000</v>
      </c>
      <c r="D104" s="11">
        <v>887172000</v>
      </c>
      <c r="E104" s="11">
        <v>297902000</v>
      </c>
      <c r="L104" s="68" t="s">
        <v>142</v>
      </c>
      <c r="M104" s="68"/>
    </row>
    <row r="105" spans="1:13" ht="21" thickTop="1" x14ac:dyDescent="0.25">
      <c r="A105" s="24" t="s">
        <v>158</v>
      </c>
      <c r="B105" s="1">
        <f t="shared" ref="B105:D105" si="10">(B22*(1-0.2))+B77+B88+B81</f>
        <v>-85329600</v>
      </c>
      <c r="C105" s="1">
        <f t="shared" si="10"/>
        <v>-159166200</v>
      </c>
      <c r="D105" s="1">
        <f t="shared" si="10"/>
        <v>-82923600</v>
      </c>
      <c r="E105" s="1">
        <f>(E22*(1-0.2))+E77+E88+E81</f>
        <v>-102072800</v>
      </c>
      <c r="F105" s="27">
        <f>E105*(1+$M$106)</f>
        <v>-134387218.92839193</v>
      </c>
      <c r="G105" s="27">
        <f t="shared" ref="G105:J105" si="11">F105*(1+$M$106)</f>
        <v>-176931803.68626651</v>
      </c>
      <c r="H105" s="27">
        <f t="shared" si="11"/>
        <v>-232945241.40987179</v>
      </c>
      <c r="I105" s="27">
        <f t="shared" si="11"/>
        <v>-306691529.53260368</v>
      </c>
      <c r="J105" s="27">
        <f t="shared" si="11"/>
        <v>-403784570.64743394</v>
      </c>
      <c r="K105" s="28" t="s">
        <v>161</v>
      </c>
      <c r="L105" s="57" t="s">
        <v>143</v>
      </c>
      <c r="M105" s="58">
        <f>(M100*M92)+(M102*M97)</f>
        <v>0.15278501999999999</v>
      </c>
    </row>
    <row r="106" spans="1:13" ht="19" x14ac:dyDescent="0.25">
      <c r="A106" s="24" t="s">
        <v>159</v>
      </c>
      <c r="B106" s="1"/>
      <c r="C106" s="21">
        <f>(C107/B107)-1</f>
        <v>0.2384569358109232</v>
      </c>
      <c r="D106" s="21">
        <f>(D107/C107)-1</f>
        <v>-0.28395045159904986</v>
      </c>
      <c r="E106" s="21">
        <f>(E107/D107)-1</f>
        <v>0.56457689063817829</v>
      </c>
      <c r="F106" s="34">
        <v>1412000</v>
      </c>
      <c r="G106" s="34">
        <v>27482000</v>
      </c>
      <c r="H106" s="34">
        <v>115500000</v>
      </c>
      <c r="I106" s="34">
        <v>253500000</v>
      </c>
      <c r="J106" s="34">
        <v>331300000</v>
      </c>
      <c r="K106" s="28" t="s">
        <v>162</v>
      </c>
      <c r="L106" s="59" t="s">
        <v>144</v>
      </c>
      <c r="M106" s="60">
        <f>(SUM(F4:J4)/5)</f>
        <v>0.31658207601233573</v>
      </c>
    </row>
    <row r="107" spans="1:13" ht="19" x14ac:dyDescent="0.25">
      <c r="A107" s="40" t="s">
        <v>160</v>
      </c>
      <c r="B107" s="1">
        <v>-60166000</v>
      </c>
      <c r="C107" s="1">
        <v>-74513000</v>
      </c>
      <c r="D107" s="1">
        <f>+D87+D88</f>
        <v>-53355000</v>
      </c>
      <c r="E107" s="1">
        <f>+E87+E88</f>
        <v>-83478000</v>
      </c>
      <c r="F107" s="28"/>
      <c r="G107" s="28"/>
      <c r="H107" s="28"/>
      <c r="I107" s="28"/>
      <c r="J107" s="35">
        <f>J106*(1+M107)/(M108-M107)</f>
        <v>2657451554.1806073</v>
      </c>
      <c r="K107" s="29" t="s">
        <v>145</v>
      </c>
      <c r="L107" s="61" t="s">
        <v>146</v>
      </c>
      <c r="M107" s="62">
        <v>2.5000000000000001E-2</v>
      </c>
    </row>
    <row r="108" spans="1:13" ht="19" x14ac:dyDescent="0.25">
      <c r="F108" s="35">
        <f t="shared" ref="F108:I108" si="12">F107+F106</f>
        <v>1412000</v>
      </c>
      <c r="G108" s="35">
        <f t="shared" si="12"/>
        <v>27482000</v>
      </c>
      <c r="H108" s="35">
        <f t="shared" si="12"/>
        <v>115500000</v>
      </c>
      <c r="I108" s="35">
        <f t="shared" si="12"/>
        <v>253500000</v>
      </c>
      <c r="J108" s="35">
        <f>J107+J106</f>
        <v>2988751554.1806073</v>
      </c>
      <c r="K108" s="29" t="s">
        <v>141</v>
      </c>
      <c r="L108" s="63" t="s">
        <v>147</v>
      </c>
      <c r="M108" s="60">
        <f>M105</f>
        <v>0.15278501999999999</v>
      </c>
    </row>
    <row r="109" spans="1:13" ht="19" x14ac:dyDescent="0.25">
      <c r="F109" s="64" t="s">
        <v>148</v>
      </c>
      <c r="G109" s="64"/>
    </row>
    <row r="110" spans="1:13" ht="20" x14ac:dyDescent="0.25">
      <c r="F110" s="43" t="s">
        <v>149</v>
      </c>
      <c r="G110" s="44">
        <f>NPV(M108,F108,G108,H108,I108,J108)</f>
        <v>1708917660.3463485</v>
      </c>
    </row>
    <row r="111" spans="1:13" ht="20" x14ac:dyDescent="0.25">
      <c r="F111" s="43" t="s">
        <v>150</v>
      </c>
      <c r="G111" s="44">
        <f>E40</f>
        <v>936651000</v>
      </c>
    </row>
    <row r="112" spans="1:13" ht="20" x14ac:dyDescent="0.25">
      <c r="F112" s="43" t="s">
        <v>137</v>
      </c>
      <c r="G112" s="44">
        <f>M99</f>
        <v>0</v>
      </c>
    </row>
    <row r="113" spans="6:7" ht="20" x14ac:dyDescent="0.25">
      <c r="F113" s="43" t="s">
        <v>151</v>
      </c>
      <c r="G113" s="44">
        <f>G110+G111-G112</f>
        <v>2645568660.3463488</v>
      </c>
    </row>
    <row r="114" spans="6:7" ht="20" x14ac:dyDescent="0.25">
      <c r="F114" s="43" t="s">
        <v>163</v>
      </c>
      <c r="G114" s="43">
        <f>E34*(1+(K16*5))</f>
        <v>174846431.29590282</v>
      </c>
    </row>
    <row r="115" spans="6:7" ht="20" x14ac:dyDescent="0.25">
      <c r="F115" s="45" t="s">
        <v>152</v>
      </c>
      <c r="G115" s="46">
        <f>G113/G114</f>
        <v>15.130813026827516</v>
      </c>
    </row>
    <row r="116" spans="6:7" ht="20" x14ac:dyDescent="0.25">
      <c r="F116" s="43" t="s">
        <v>153</v>
      </c>
      <c r="G116" s="47" cm="1">
        <f t="array" ref="G116">_FV(A1,"Price")</f>
        <v>48.94</v>
      </c>
    </row>
    <row r="117" spans="6:7" ht="20" x14ac:dyDescent="0.25">
      <c r="F117" s="45" t="s">
        <v>154</v>
      </c>
      <c r="G117" s="48">
        <f>G115/G116-1</f>
        <v>-0.69082932107013661</v>
      </c>
    </row>
    <row r="118" spans="6:7" ht="20" x14ac:dyDescent="0.25">
      <c r="F118" s="45" t="s">
        <v>155</v>
      </c>
      <c r="G118" s="49"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2023-07-09T11:30:46Z</dcterms:modified>
</cp:coreProperties>
</file>