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FA016CFF-E116-ED49-BF90-2CBCE13BCB8C}"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14" i="1" l="1"/>
  <c r="L30" i="1"/>
  <c r="M30" i="1"/>
  <c r="N30" i="1"/>
  <c r="O30" i="1"/>
  <c r="K30" i="1"/>
  <c r="K29" i="1"/>
  <c r="L29" i="1"/>
  <c r="M29" i="1"/>
  <c r="N29" i="1"/>
  <c r="O29" i="1"/>
  <c r="O21" i="1"/>
  <c r="N21" i="1"/>
  <c r="M21" i="1"/>
  <c r="L21" i="1"/>
  <c r="K21" i="1"/>
  <c r="K20" i="1"/>
  <c r="L20" i="1"/>
  <c r="M20" i="1"/>
  <c r="N20" i="1"/>
  <c r="O20" i="1"/>
  <c r="L116" i="1" a="1"/>
  <c r="L116" i="1" s="1"/>
  <c r="K4" i="1"/>
  <c r="L4" i="1"/>
  <c r="M4" i="1"/>
  <c r="N4" i="1"/>
  <c r="O4" i="1"/>
  <c r="R106" i="1"/>
  <c r="K106" i="1" s="1"/>
  <c r="R101" i="1" a="1"/>
  <c r="R101" i="1" s="1"/>
  <c r="S19" i="1" s="1"/>
  <c r="R95" i="1" a="1"/>
  <c r="R95" i="1" s="1"/>
  <c r="R97" i="1" s="1"/>
  <c r="R86" i="1"/>
  <c r="R87" i="1"/>
  <c r="R99" i="1"/>
  <c r="R85" i="1"/>
  <c r="R88" i="1"/>
  <c r="R89" i="1"/>
  <c r="R90" i="1"/>
  <c r="R91" i="1"/>
  <c r="R92" i="1"/>
  <c r="L111" i="1"/>
  <c r="L112" i="1"/>
  <c r="P16" i="1"/>
  <c r="P19" i="1"/>
  <c r="S13" i="1"/>
  <c r="R13" i="1"/>
  <c r="Q13" i="1"/>
  <c r="P13" i="1"/>
  <c r="S10" i="1"/>
  <c r="R10" i="1"/>
  <c r="Q10" i="1"/>
  <c r="P10" i="1"/>
  <c r="S7" i="1"/>
  <c r="R7" i="1"/>
  <c r="Q7" i="1"/>
  <c r="P7" i="1"/>
  <c r="S4" i="1"/>
  <c r="R4" i="1"/>
  <c r="Q4" i="1"/>
  <c r="P4" i="1"/>
  <c r="J9" i="1"/>
  <c r="J13" i="1"/>
  <c r="J20" i="1"/>
  <c r="J29" i="1"/>
  <c r="J35" i="1"/>
  <c r="J80" i="1"/>
  <c r="J89" i="1"/>
  <c r="J105" i="1"/>
  <c r="I105" i="1"/>
  <c r="H105" i="1"/>
  <c r="G105" i="1"/>
  <c r="F105" i="1"/>
  <c r="E105" i="1"/>
  <c r="D105" i="1"/>
  <c r="C105" i="1"/>
  <c r="I89" i="1"/>
  <c r="H89" i="1"/>
  <c r="G89" i="1"/>
  <c r="F89" i="1"/>
  <c r="E89" i="1"/>
  <c r="D89" i="1"/>
  <c r="C89" i="1"/>
  <c r="B89" i="1"/>
  <c r="I80" i="1"/>
  <c r="H80" i="1"/>
  <c r="G80" i="1"/>
  <c r="F80" i="1"/>
  <c r="E80" i="1"/>
  <c r="D80" i="1"/>
  <c r="C80" i="1"/>
  <c r="B80" i="1"/>
  <c r="I13" i="1"/>
  <c r="H13" i="1"/>
  <c r="G13" i="1"/>
  <c r="F13" i="1"/>
  <c r="E13" i="1"/>
  <c r="D13" i="1"/>
  <c r="C13" i="1"/>
  <c r="B13" i="1"/>
  <c r="I9" i="1"/>
  <c r="H9" i="1"/>
  <c r="G9" i="1"/>
  <c r="F9" i="1"/>
  <c r="E9" i="1"/>
  <c r="D9" i="1"/>
  <c r="C9" i="1"/>
  <c r="B9" i="1"/>
  <c r="I35" i="1"/>
  <c r="H35" i="1"/>
  <c r="G35" i="1"/>
  <c r="F35" i="1"/>
  <c r="E35" i="1"/>
  <c r="D35" i="1"/>
  <c r="C35" i="1"/>
  <c r="I29" i="1"/>
  <c r="H29" i="1"/>
  <c r="G29" i="1"/>
  <c r="F29" i="1"/>
  <c r="E29" i="1"/>
  <c r="D29" i="1"/>
  <c r="C29" i="1"/>
  <c r="I20" i="1"/>
  <c r="H20" i="1"/>
  <c r="G20" i="1"/>
  <c r="F20" i="1"/>
  <c r="E20" i="1"/>
  <c r="D20" i="1"/>
  <c r="C20" i="1"/>
  <c r="I4" i="1"/>
  <c r="H4" i="1"/>
  <c r="G4" i="1"/>
  <c r="J4" i="1"/>
  <c r="F4" i="1"/>
  <c r="E4" i="1"/>
  <c r="D4" i="1"/>
  <c r="C4" i="1"/>
  <c r="Q19" i="1" l="1"/>
  <c r="R19" i="1"/>
  <c r="L106" i="1"/>
  <c r="K108" i="1"/>
  <c r="Q16" i="1"/>
  <c r="R103" i="1"/>
  <c r="R100" i="1" s="1"/>
  <c r="S16" i="1"/>
  <c r="R16" i="1"/>
  <c r="R102" i="1" l="1"/>
  <c r="L108" i="1"/>
  <c r="M106" i="1"/>
  <c r="R105" i="1"/>
  <c r="R108" i="1" s="1"/>
  <c r="O107" i="1" s="1"/>
  <c r="O108" i="1" s="1"/>
  <c r="M108" i="1" l="1"/>
  <c r="N106" i="1"/>
  <c r="N108" i="1" l="1"/>
  <c r="O106" i="1"/>
  <c r="L110" i="1" s="1"/>
  <c r="L113" i="1" s="1"/>
  <c r="L115" i="1" s="1"/>
  <c r="L118" i="1" s="1"/>
  <c r="L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<sst xmlns="http://schemas.openxmlformats.org/spreadsheetml/2006/main" count="339" uniqueCount="163">
  <si>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</si>
  <si>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</si>
  <si>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</si>
  <si>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</si>
  <si>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</si>
  <si>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</si>
  <si>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</si>
  <si>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</si>
  <si>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</si>
  <si>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</si>
  <si>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</si>
  <si>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</si>
  <si>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</si>
  <si>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</si>
  <si>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</si>
  <si>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</si>
  <si>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</si>
  <si>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</si>
  <si>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</si>
  <si>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</si>
  <si>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</si>
  <si>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</si>
  <si>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</si>
  <si>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</si>
  <si>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</si>
  <si>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</si>
  <si>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</si>
  <si>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</si>
  <si>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</si>
  <si>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</si>
  <si>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</si>
  <si>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</si>
  <si>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</si>
  <si>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</si>
  <si>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</si>
  <si>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</si>
  <si>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</si>
  <si>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</si>
  <si>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</si>
  <si>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</si>
  <si>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</si>
  <si>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</si>
  <si>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</si>
  <si>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</si>
  <si>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</si>
  <si>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</si>
  <si>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</si>
  <si>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</si>
  <si>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</si>
  <si>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</si>
  <si>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</si>
  <si>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</si>
  <si>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</si>
  <si>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</si>
  <si>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</si>
  <si>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</si>
  <si>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</si>
  <si>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</si>
  <si>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</si>
  <si>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</si>
  <si>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</si>
  <si>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</si>
  <si>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</si>
  <si>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</si>
  <si>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</si>
  <si>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</si>
  <si>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</si>
  <si>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</si>
  <si>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</si>
  <si>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</si>
  <si>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</si>
  <si>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</si>
  <si>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</si>
  <si>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</si>
  <si>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</si>
  <si>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</si>
  <si>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</si>
  <si>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</si>
  <si>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</si>
  <si>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</si>
  <si>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</si>
  <si>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</si>
  <si>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</si>
  <si>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</si>
  <si>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</si>
  <si>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</si>
  <si>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</si>
  <si>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</si>
  <si>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</si>
  <si>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</si>
  <si>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</si>
  <si>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</si>
  <si>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</si>
  <si>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</si>
  <si>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</si>
  <si>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</si>
  <si>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</si>
  <si>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</si>
  <si>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</si>
  <si>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</si>
  <si>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</si>
  <si>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</si>
  <si>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</si>
  <si>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</si>
  <si>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</si>
  <si>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</si>
  <si>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</si>
  <si>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</si>
  <si>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</si>
  <si>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</si>
  <si>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</si>
  <si>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</si>
  <si>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</si>
  <si>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</si>
  <si>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</si>
  <si>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</si>
  <si>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</si>
  <si>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</si>
  <si>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</si>
  <si>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</si>
  <si>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</si>
  <si>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</si>
  <si>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</si>
  <si>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</si>
  <si>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</si>
  <si>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</si>
  <si>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</si>
  <si>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</si>
  <si>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</si>
  <si>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</si>
  <si>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</si>
  <si>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</si>
  <si>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</si>
  <si>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</si>
  <si>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</si>
  <si>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</si>
  <si>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</si>
  <si>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</si>
  <si>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</si>
  <si>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</si>
  <si>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</si>
  <si>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</si>
  <si>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</si>
  <si>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</si>
  <si>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</si>
  <si>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</si>
  <si>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</si>
  <si>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</si>
  <si>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</si>
  <si>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</si>
  <si>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</si>
  <si>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</si>
  <si>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</si>
  <si>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</si>
  <si>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</si>
  <si>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</si>
  <si>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</si>
  <si>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</si>
  <si>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</si>
  <si>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P/S</t>
  </si>
  <si>
    <t>Forward P/E</t>
  </si>
  <si>
    <t>Forward P/FCF</t>
  </si>
  <si>
    <t>Shares (5%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</si>
</sst>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8">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0" fontId="14" fillId="0" borderId="0" xfId="0"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7"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7"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7"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3" fillId="0" borderId="2" xfId="0" applyNumberFormat="1" applyFont="1" applyBorder="1"/>
    <xf numFmtId="165" fontId="10" fillId="0" borderId="15"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0" fillId="7" borderId="0" xfId="0" applyNumberFormat="1" applyFont="1" applyFill="1"/>
    <xf numFmtId="164" fontId="1" fillId="7" borderId="0" xfId="0" applyNumberFormat="1" applyFont="1" applyFill="1"/>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xf numFmtId="0" fontId="15" fillId="5" borderId="12" xfId="0" applyFont="1" applyFill="1" applyBorder="1" applyAlignment="1">
      <alignment horizontal="center"/>
    </xf>
    <xf numFmtId="0" fontId="16" fillId="5" borderId="7"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OKTA</a:t>
            </a:r>
          </a:p>
        </c:rich>
      </c:tx>
      <c:layout>
        <c:manualLayout>
          <c:xMode val="edge"/>
          <c:yMode val="edge"/>
          <c:x val="0.46072131147540984"/>
          <c:y val="1.962387740004055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8413114754098359E-2"/>
          <c:y val="0.1123576002693433"/>
          <c:w val="0.87175081967213119"/>
          <c:h val="0.7898059536749444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1'!$B$3:$J$3</c:f>
              <c:numCache>
                <c:formatCode>#,###,,;\(#,###,,\);\ \-\ \-</c:formatCode>
                <c:ptCount val="9"/>
                <c:pt idx="0">
                  <c:v>41010000</c:v>
                </c:pt>
                <c:pt idx="1">
                  <c:v>85907000</c:v>
                </c:pt>
                <c:pt idx="2">
                  <c:v>160326000</c:v>
                </c:pt>
                <c:pt idx="3">
                  <c:v>259990000</c:v>
                </c:pt>
                <c:pt idx="4">
                  <c:v>399254000</c:v>
                </c:pt>
                <c:pt idx="5">
                  <c:v>586067000</c:v>
                </c:pt>
                <c:pt idx="6">
                  <c:v>835424000</c:v>
                </c:pt>
                <c:pt idx="7">
                  <c:v>1300201000</c:v>
                </c:pt>
                <c:pt idx="8">
                  <c:v>1858000000</c:v>
                </c:pt>
              </c:numCache>
            </c:numRef>
          </c:val>
          <c:extLst>
            <c:ext xmlns:c16="http://schemas.microsoft.com/office/drawing/2014/chart" uri="{C3380CC4-5D6E-409C-BE32-E72D297353CC}">
              <c16:uniqueId val="{00000000-08E2-2D4C-BDFB-B7B3B720DC4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1'!$B$19:$J$19</c:f>
              <c:numCache>
                <c:formatCode>#,###,,;\(#,###,,\);\ \-\ \-</c:formatCode>
                <c:ptCount val="9"/>
                <c:pt idx="0">
                  <c:v>-57058000</c:v>
                </c:pt>
                <c:pt idx="1">
                  <c:v>-73118000</c:v>
                </c:pt>
                <c:pt idx="2">
                  <c:v>-78516000</c:v>
                </c:pt>
                <c:pt idx="3">
                  <c:v>-107679000</c:v>
                </c:pt>
                <c:pt idx="4">
                  <c:v>-102441000</c:v>
                </c:pt>
                <c:pt idx="5">
                  <c:v>-165500000</c:v>
                </c:pt>
                <c:pt idx="6">
                  <c:v>-156666000</c:v>
                </c:pt>
                <c:pt idx="7">
                  <c:v>-649902000</c:v>
                </c:pt>
                <c:pt idx="8">
                  <c:v>-676000000</c:v>
                </c:pt>
              </c:numCache>
            </c:numRef>
          </c:val>
          <c:extLst>
            <c:ext xmlns:c16="http://schemas.microsoft.com/office/drawing/2014/chart" uri="{C3380CC4-5D6E-409C-BE32-E72D297353CC}">
              <c16:uniqueId val="{00000001-08E2-2D4C-BDFB-B7B3B720DC4A}"/>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1'!$B$106:$J$106</c:f>
              <c:numCache>
                <c:formatCode>#,###,,;\(#,###,,\);\ \-\ \-</c:formatCode>
                <c:ptCount val="9"/>
                <c:pt idx="0">
                  <c:v>-35694000</c:v>
                </c:pt>
                <c:pt idx="1">
                  <c:v>-48237000</c:v>
                </c:pt>
                <c:pt idx="2">
                  <c:v>-53843000</c:v>
                </c:pt>
                <c:pt idx="3">
                  <c:v>-37221000</c:v>
                </c:pt>
                <c:pt idx="4">
                  <c:v>-7490000</c:v>
                </c:pt>
                <c:pt idx="5">
                  <c:v>27684000</c:v>
                </c:pt>
                <c:pt idx="6">
                  <c:v>110594000</c:v>
                </c:pt>
                <c:pt idx="7">
                  <c:v>87360000</c:v>
                </c:pt>
                <c:pt idx="8">
                  <c:v>65000000</c:v>
                </c:pt>
              </c:numCache>
            </c:numRef>
          </c:val>
          <c:extLst>
            <c:ext xmlns:c16="http://schemas.microsoft.com/office/drawing/2014/chart" uri="{C3380CC4-5D6E-409C-BE32-E72D297353CC}">
              <c16:uniqueId val="{00000002-08E2-2D4C-BDFB-B7B3B720DC4A}"/>
            </c:ext>
          </c:extLst>
        </c:ser>
        <c:dLbls>
          <c:showLegendKey val="0"/>
          <c:showVal val="0"/>
          <c:showCatName val="0"/>
          <c:showSerName val="0"/>
          <c:showPercent val="0"/>
          <c:showBubbleSize val="0"/>
        </c:dLbls>
        <c:gapWidth val="100"/>
        <c:overlap val="-24"/>
        <c:axId val="1463778560"/>
        <c:axId val="1463780288"/>
      </c:barChart>
      <c:catAx>
        <c:axId val="14637785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63780288"/>
        <c:crosses val="autoZero"/>
        <c:auto val="1"/>
        <c:lblAlgn val="ctr"/>
        <c:lblOffset val="100"/>
        <c:noMultiLvlLbl val="0"/>
      </c:catAx>
      <c:valAx>
        <c:axId val="146378028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63778560"/>
        <c:crosses val="autoZero"/>
        <c:crossBetween val="between"/>
      </c:valAx>
      <c:spPr>
        <a:noFill/>
        <a:ln>
          <a:noFill/>
        </a:ln>
        <a:effectLst/>
      </c:spPr>
    </c:plotArea>
    <c:legend>
      <c:legendPos val="b"/>
      <c:layout>
        <c:manualLayout>
          <c:xMode val="edge"/>
          <c:yMode val="edge"/>
          <c:x val="0.34971514134503678"/>
          <c:y val="0.92913926033949135"/>
          <c:w val="0.30056971730992643"/>
          <c:h val="4.46955697937879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15875</xdr:colOff>
      <xdr:row>108</xdr:row>
      <xdr:rowOff>17462</xdr:rowOff>
    </xdr:from>
    <xdr:to>
      <xdr:col>17</xdr:col>
      <xdr:colOff>1603375</xdr:colOff>
      <xdr:row>134</xdr:row>
      <xdr:rowOff>15874</xdr:rowOff>
    </xdr:to>
    <xdr:graphicFrame macro="">
      <xdr:nvGraphicFramePr>
        <xdr:cNvPr id="2" name="Chart 1">
          <a:extLst>
            <a:ext uri="{FF2B5EF4-FFF2-40B4-BE49-F238E27FC236}">
              <a16:creationId xmlns:a16="http://schemas.microsoft.com/office/drawing/2014/main" id="{7BFE17F3-BF60-F2A0-281D-124A90B655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https://www.bing.com/financeapi/forcetrigger?t=a1z6qh&amp;q=XNAS%3aOKTA&amp;form=skydnc</v>
    <v>Learn more on Bing</v>
  </rv>
  <rv s="1">
    <v>0</v>
    <v>OKTA, INC. (XNAS:OKTA)</v>
    <v>2</v>
    <v>3</v>
    <v>Finance</v>
    <v>4</v>
    <v>en-US</v>
    <v>a1z6qh</v>
    <v>268435456</v>
    <v>1</v>
    <v>Powered by Refinitiv</v>
    <v>110.94</v>
    <v>44.120399999999997</v>
    <v>1.018</v>
    <v>-0.04</v>
    <v>-5.8330000000000003E-4</v>
    <v>USD</v>
    <v>Okta, Inc. is an independent identity provider. The Company's Okta Identity Platform is an independent and neutral cloud-based identity solution that allows its customers to integrate with nearly any application, service or cloud that they choose through its secure platform and cloud infrastructure. Its Workforce Identity Cloud is used as the central system for an organization’s connectivity, access, authentication and identity lifecycle management needs spanning all of its users, technology and applications. Its Workforce Identity products include Universal Directory, Single Sign-On, Adaptive Multi-Factor Authentication, Lifecycle Management, API Access Management, Access Gateway, Advanced Server Access and Okta Identity Governance. The Company’s Customer Identity products include Universal Login, Attack Protection, Adaptive Multi-Factor Authentication, Passwordless, Machine to Machine, Private Cloud, Organizations, Actions and Extensibility, and Enterprise Connections.</v>
    <v>5683</v>
    <v>Nasdaq Stock Market</v>
    <v>XNAS</v>
    <v>XNAS</v>
    <v>100 1st St Ste 600, SAN FRANCISCO, CA, 94105-4687 US</v>
    <v>69.61</v>
    <v>Software &amp; IT Services</v>
    <v>Stock</v>
    <v>45114.999899918752</v>
    <v>0</v>
    <v>68.41</v>
    <v>11126540000</v>
    <v>OKTA, INC.</v>
    <v>OKTA, INC.</v>
    <v>69.09</v>
    <v>68.569999999999993</v>
    <v>68.53</v>
    <v>162360100</v>
    <v>OKTA</v>
    <v>OKTA, INC. (XNAS:OKTA)</v>
    <v>153</v>
    <v>3515523</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60134/000166013418000007/0001660134-18-000007-index.html" TargetMode="External"/><Relationship Id="rId13" Type="http://schemas.openxmlformats.org/officeDocument/2006/relationships/hyperlink" Target="https://www.sec.gov/Archives/edgar/data/1660134/000166013420000006/0001660134-20-000006-index.html" TargetMode="External"/><Relationship Id="rId18" Type="http://schemas.openxmlformats.org/officeDocument/2006/relationships/hyperlink" Target="https://www.sec.gov/Archives/edgar/data/1660134/000166013423000013/0001660134-23-000013-index.htm" TargetMode="External"/><Relationship Id="rId3" Type="http://schemas.openxmlformats.org/officeDocument/2006/relationships/hyperlink" Target="https://sec.gov/" TargetMode="External"/><Relationship Id="rId21" Type="http://schemas.openxmlformats.org/officeDocument/2006/relationships/drawing" Target="../drawings/drawing1.xml"/><Relationship Id="rId7" Type="http://schemas.openxmlformats.org/officeDocument/2006/relationships/hyperlink" Target="https://sec.gov/" TargetMode="External"/><Relationship Id="rId12" Type="http://schemas.openxmlformats.org/officeDocument/2006/relationships/hyperlink" Target="https://www.sec.gov/Archives/edgar/data/1660134/000166013420000006/0001660134-20-000006-index.html" TargetMode="External"/><Relationship Id="rId17" Type="http://schemas.openxmlformats.org/officeDocument/2006/relationships/hyperlink" Target="https://www.sec.gov/Archives/edgar/data/1660134/000166013422000010/0001660134-22-000010-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660134/000166013422000010/0001660134-22-000010-index.htm" TargetMode="External"/><Relationship Id="rId20" Type="http://schemas.openxmlformats.org/officeDocument/2006/relationships/hyperlink" Target="https://finbox.com/NASDAQGS:OKTA/explorer/revenue_proj" TargetMode="External"/><Relationship Id="rId1" Type="http://schemas.openxmlformats.org/officeDocument/2006/relationships/hyperlink" Target="https://roic.ai/company/OKTA"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660134/000166013419000006/0001660134-19-000006-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660134/000166013421000007/0001660134-21-000007-index.htm" TargetMode="External"/><Relationship Id="rId10" Type="http://schemas.openxmlformats.org/officeDocument/2006/relationships/hyperlink" Target="https://www.sec.gov/Archives/edgar/data/1660134/000166013419000006/0001660134-19-000006-index.html" TargetMode="External"/><Relationship Id="rId19" Type="http://schemas.openxmlformats.org/officeDocument/2006/relationships/hyperlink" Target="https://www.sec.gov/Archives/edgar/data/1660134/000166013423000013/0001660134-23-000013-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60134/000166013418000007/0001660134-18-000007-index.html" TargetMode="External"/><Relationship Id="rId14" Type="http://schemas.openxmlformats.org/officeDocument/2006/relationships/hyperlink" Target="https://www.sec.gov/Archives/edgar/data/1660134/000166013421000007/0001660134-21-00000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H89" activePane="bottomRight" state="frozen"/>
      <selection pane="topRight"/>
      <selection pane="bottomLeft"/>
      <selection pane="bottomRight" activeCell="J106" sqref="J106"/>
    </sheetView>
  </sheetViews>
  <sheetFormatPr baseColWidth="10" defaultRowHeight="16"/>
  <cols>
    <col min="1" max="1" width="50" customWidth="1"/>
    <col min="2" max="10" width="15" customWidth="1"/>
    <col min="11" max="19" width="21.1640625" customWidth="1"/>
  </cols>
  <sheetData>
    <row r="1" spans="1:38" ht="22" thickBot="1">
      <c r="A1" s="3" t="e" vm="1">
        <v>#VALUE!</v>
      </c>
      <c r="B1" s="8">
        <v>2015</v>
      </c>
      <c r="C1" s="8">
        <v>2016</v>
      </c>
      <c r="D1" s="8">
        <v>2017</v>
      </c>
      <c r="E1" s="8">
        <v>2018</v>
      </c>
      <c r="F1" s="8">
        <v>2019</v>
      </c>
      <c r="G1" s="8">
        <v>2020</v>
      </c>
      <c r="H1" s="8">
        <v>2021</v>
      </c>
      <c r="I1" s="8">
        <v>2022</v>
      </c>
      <c r="J1" s="8">
        <v>2023</v>
      </c>
      <c r="K1" s="28">
        <v>2024</v>
      </c>
      <c r="L1" s="28">
        <v>2025</v>
      </c>
      <c r="M1" s="28">
        <v>2026</v>
      </c>
      <c r="N1" s="28">
        <v>2027</v>
      </c>
      <c r="O1" s="28">
        <v>2028</v>
      </c>
    </row>
    <row r="2" spans="1:38" ht="21">
      <c r="A2" s="4" t="s">
        <v>0</v>
      </c>
      <c r="B2" s="9" t="s">
        <v>91</v>
      </c>
      <c r="C2" s="9" t="s">
        <v>91</v>
      </c>
      <c r="D2" s="9" t="s">
        <v>91</v>
      </c>
      <c r="E2" s="9" t="s">
        <v>91</v>
      </c>
      <c r="F2" s="9" t="s">
        <v>91</v>
      </c>
      <c r="G2" s="9" t="s">
        <v>91</v>
      </c>
      <c r="H2" s="9" t="s">
        <v>91</v>
      </c>
      <c r="I2" s="9" t="s">
        <v>91</v>
      </c>
      <c r="J2" s="9" t="s">
        <v>91</v>
      </c>
      <c r="K2" s="9" t="s">
        <v>91</v>
      </c>
      <c r="L2" s="9" t="s">
        <v>91</v>
      </c>
      <c r="M2" s="9"/>
      <c r="N2" s="9"/>
      <c r="O2" s="9"/>
      <c r="P2" s="9"/>
      <c r="Q2" s="9"/>
      <c r="R2" s="9"/>
      <c r="S2" s="9"/>
    </row>
    <row r="3" spans="1:38" ht="40">
      <c r="A3" s="5" t="s">
        <v>1</v>
      </c>
      <c r="B3" s="1">
        <v>41010000</v>
      </c>
      <c r="C3" s="1">
        <v>85907000</v>
      </c>
      <c r="D3" s="1">
        <v>160326000</v>
      </c>
      <c r="E3" s="1">
        <v>259990000</v>
      </c>
      <c r="F3" s="1">
        <v>399254000</v>
      </c>
      <c r="G3" s="1">
        <v>586067000</v>
      </c>
      <c r="H3" s="1">
        <v>835424000</v>
      </c>
      <c r="I3" s="1">
        <v>1300201000</v>
      </c>
      <c r="J3" s="1">
        <v>1858000000</v>
      </c>
      <c r="K3" s="29">
        <v>2166000000</v>
      </c>
      <c r="L3" s="29">
        <v>2565000000</v>
      </c>
      <c r="M3" s="29">
        <v>3127000000</v>
      </c>
      <c r="N3" s="29">
        <v>4605000000</v>
      </c>
      <c r="O3" s="29">
        <v>4870000000</v>
      </c>
      <c r="P3" s="19" t="s">
        <v>109</v>
      </c>
      <c r="Q3" s="20" t="s">
        <v>110</v>
      </c>
      <c r="R3" s="20" t="s">
        <v>111</v>
      </c>
      <c r="S3" s="20" t="s">
        <v>112</v>
      </c>
    </row>
    <row r="4" spans="1:38" ht="19">
      <c r="A4" s="14" t="s">
        <v>94</v>
      </c>
      <c r="B4" s="1"/>
      <c r="C4" s="15">
        <f>(C3/B3)-1</f>
        <v>1.0947817605462085</v>
      </c>
      <c r="D4" s="15">
        <f>(D3/C3)-1</f>
        <v>0.86627399397022353</v>
      </c>
      <c r="E4" s="15">
        <f>(E3/D3)-1</f>
        <v>0.62163342190287296</v>
      </c>
      <c r="F4" s="15">
        <f t="shared" ref="F4:O4" si="0">(F3/E3)-1</f>
        <v>0.5356513712065849</v>
      </c>
      <c r="G4" s="15">
        <f t="shared" si="0"/>
        <v>0.46790514309186637</v>
      </c>
      <c r="H4" s="16">
        <f t="shared" si="0"/>
        <v>0.42547524429800698</v>
      </c>
      <c r="I4" s="16">
        <f t="shared" si="0"/>
        <v>0.55633666258091696</v>
      </c>
      <c r="J4" s="16">
        <f t="shared" si="0"/>
        <v>0.42900982232747098</v>
      </c>
      <c r="K4" s="16">
        <f t="shared" si="0"/>
        <v>0.16576964477933265</v>
      </c>
      <c r="L4" s="16">
        <f t="shared" si="0"/>
        <v>0.18421052631578938</v>
      </c>
      <c r="M4" s="16">
        <f t="shared" si="0"/>
        <v>0.21910331384015591</v>
      </c>
      <c r="N4" s="16">
        <f t="shared" si="0"/>
        <v>0.4726574992005117</v>
      </c>
      <c r="O4" s="16">
        <f t="shared" si="0"/>
        <v>5.7546145494028256E-2</v>
      </c>
      <c r="P4" s="17">
        <f>(J4+I4+H4)/3</f>
        <v>0.47027390973546496</v>
      </c>
      <c r="Q4" s="17">
        <f>(J20+I20+H20)/3</f>
        <v>1.0450358236327775</v>
      </c>
      <c r="R4" s="17">
        <f>(J29+I29+H29)/3</f>
        <v>0.8070016304122557</v>
      </c>
      <c r="S4" s="17">
        <f>(J105+I105+H105)/3</f>
        <v>0.84294485759898274</v>
      </c>
      <c r="AE4" s="16"/>
      <c r="AF4" s="16"/>
      <c r="AI4" s="18"/>
      <c r="AJ4" s="18"/>
      <c r="AK4" s="18"/>
      <c r="AL4" s="18"/>
    </row>
    <row r="5" spans="1:38" ht="19">
      <c r="A5" s="5" t="s">
        <v>2</v>
      </c>
      <c r="B5" s="1">
        <v>18730000</v>
      </c>
      <c r="C5" s="1">
        <v>36024000</v>
      </c>
      <c r="D5" s="1">
        <v>55949000</v>
      </c>
      <c r="E5" s="1">
        <v>80755000</v>
      </c>
      <c r="F5" s="1">
        <v>113421000</v>
      </c>
      <c r="G5" s="1">
        <v>159382000</v>
      </c>
      <c r="H5" s="1">
        <v>217681000</v>
      </c>
      <c r="I5" s="1">
        <v>396405000</v>
      </c>
      <c r="J5" s="1">
        <v>546000000</v>
      </c>
    </row>
    <row r="6" spans="1:38" ht="20">
      <c r="A6" s="6" t="s">
        <v>3</v>
      </c>
      <c r="B6" s="10">
        <v>22280000</v>
      </c>
      <c r="C6" s="10">
        <v>49883000</v>
      </c>
      <c r="D6" s="10">
        <v>104377000</v>
      </c>
      <c r="E6" s="10">
        <v>179235000</v>
      </c>
      <c r="F6" s="10">
        <v>285833000</v>
      </c>
      <c r="G6" s="10">
        <v>426685000</v>
      </c>
      <c r="H6" s="10">
        <v>617743000</v>
      </c>
      <c r="I6" s="10">
        <v>903796000</v>
      </c>
      <c r="J6" s="10">
        <v>1312000000</v>
      </c>
      <c r="P6" s="19" t="s">
        <v>113</v>
      </c>
      <c r="Q6" s="20" t="s">
        <v>114</v>
      </c>
      <c r="R6" s="20" t="s">
        <v>115</v>
      </c>
      <c r="S6" s="20" t="s">
        <v>116</v>
      </c>
    </row>
    <row r="7" spans="1:38" ht="19">
      <c r="A7" s="5" t="s">
        <v>4</v>
      </c>
      <c r="B7" s="2">
        <v>0.54330000000000001</v>
      </c>
      <c r="C7" s="2">
        <v>0.58069999999999999</v>
      </c>
      <c r="D7" s="2">
        <v>0.65100000000000002</v>
      </c>
      <c r="E7" s="2">
        <v>0.68940000000000001</v>
      </c>
      <c r="F7" s="2">
        <v>0.71589999999999998</v>
      </c>
      <c r="G7" s="2">
        <v>0.72799999999999998</v>
      </c>
      <c r="H7" s="2">
        <v>0.73939999999999995</v>
      </c>
      <c r="I7" s="2">
        <v>0.69510000000000005</v>
      </c>
      <c r="J7" s="2">
        <v>0.70609999999999995</v>
      </c>
      <c r="P7" s="17">
        <f>J7</f>
        <v>0.70609999999999995</v>
      </c>
      <c r="Q7" s="21">
        <f>J21</f>
        <v>-0.36380000000000001</v>
      </c>
      <c r="R7" s="21">
        <f>J30</f>
        <v>-0.43859999999999999</v>
      </c>
      <c r="S7" s="21">
        <f>J106/J3</f>
        <v>3.4983853606027987E-2</v>
      </c>
    </row>
    <row r="8" spans="1:38" ht="19">
      <c r="A8" s="5" t="s">
        <v>5</v>
      </c>
      <c r="B8" s="1">
        <v>18370000</v>
      </c>
      <c r="C8" s="1">
        <v>28761000</v>
      </c>
      <c r="D8" s="1">
        <v>38659000</v>
      </c>
      <c r="E8" s="1">
        <v>70821000</v>
      </c>
      <c r="F8" s="1">
        <v>102385000</v>
      </c>
      <c r="G8" s="1">
        <v>159269000</v>
      </c>
      <c r="H8" s="1">
        <v>222826000</v>
      </c>
      <c r="I8" s="1">
        <v>469259000</v>
      </c>
      <c r="J8" s="1">
        <v>620000000</v>
      </c>
      <c r="K8" s="30"/>
    </row>
    <row r="9" spans="1:38" ht="19" customHeight="1">
      <c r="A9" s="14" t="s">
        <v>95</v>
      </c>
      <c r="B9" s="15">
        <f>B8/B3</f>
        <v>0.44793952694464767</v>
      </c>
      <c r="C9" s="15">
        <f t="shared" ref="C9:J9" si="1">C8/C3</f>
        <v>0.33479227536754863</v>
      </c>
      <c r="D9" s="15">
        <f t="shared" si="1"/>
        <v>0.24112745281488968</v>
      </c>
      <c r="E9" s="15">
        <f t="shared" si="1"/>
        <v>0.2723989384207085</v>
      </c>
      <c r="F9" s="15">
        <f t="shared" si="1"/>
        <v>0.2564407620211695</v>
      </c>
      <c r="G9" s="15">
        <f t="shared" si="1"/>
        <v>0.27175903096403653</v>
      </c>
      <c r="H9" s="15">
        <f t="shared" si="1"/>
        <v>0.26672204772666336</v>
      </c>
      <c r="I9" s="15">
        <f t="shared" si="1"/>
        <v>0.36091265888889484</v>
      </c>
      <c r="J9" s="15">
        <f t="shared" si="1"/>
        <v>0.33369214208826697</v>
      </c>
      <c r="P9" s="19" t="s">
        <v>96</v>
      </c>
      <c r="Q9" s="20" t="s">
        <v>97</v>
      </c>
      <c r="R9" s="20" t="s">
        <v>98</v>
      </c>
      <c r="S9" s="20" t="s">
        <v>99</v>
      </c>
    </row>
    <row r="10" spans="1:38" ht="19">
      <c r="A10" s="5" t="s">
        <v>6</v>
      </c>
      <c r="B10" s="1">
        <v>13596000</v>
      </c>
      <c r="C10" s="1">
        <v>19195000</v>
      </c>
      <c r="D10" s="1">
        <v>30099000</v>
      </c>
      <c r="E10" s="1">
        <v>51803000</v>
      </c>
      <c r="F10" s="1">
        <v>75110000</v>
      </c>
      <c r="G10" s="1">
        <v>112892000</v>
      </c>
      <c r="H10" s="1">
        <v>171726000</v>
      </c>
      <c r="I10" s="1">
        <v>431314000</v>
      </c>
      <c r="J10" s="1">
        <v>409000000</v>
      </c>
      <c r="P10" s="17">
        <f>J9</f>
        <v>0.33369214208826697</v>
      </c>
      <c r="Q10" s="21">
        <f>J13</f>
        <v>0.79386437029063506</v>
      </c>
      <c r="R10" s="21">
        <f>J80</f>
        <v>0.36437029063509152</v>
      </c>
      <c r="S10" s="21">
        <f>J89</f>
        <v>6.4585575888051671E-3</v>
      </c>
    </row>
    <row r="11" spans="1:38" ht="19">
      <c r="A11" s="5" t="s">
        <v>7</v>
      </c>
      <c r="B11" s="1">
        <v>49096000</v>
      </c>
      <c r="C11" s="1">
        <v>77915000</v>
      </c>
      <c r="D11" s="1">
        <v>118742000</v>
      </c>
      <c r="E11" s="1">
        <v>172973000</v>
      </c>
      <c r="F11" s="1">
        <v>227960000</v>
      </c>
      <c r="G11" s="1">
        <v>340356000</v>
      </c>
      <c r="H11" s="1">
        <v>427350000</v>
      </c>
      <c r="I11" s="1">
        <v>770326000</v>
      </c>
      <c r="J11" s="1">
        <v>1066000000</v>
      </c>
    </row>
    <row r="12" spans="1:38" ht="20">
      <c r="A12" s="5" t="s">
        <v>8</v>
      </c>
      <c r="B12" s="1">
        <v>62692000</v>
      </c>
      <c r="C12" s="1">
        <v>97110000</v>
      </c>
      <c r="D12" s="1">
        <v>148841000</v>
      </c>
      <c r="E12" s="1">
        <v>224776000</v>
      </c>
      <c r="F12" s="1">
        <v>303070000</v>
      </c>
      <c r="G12" s="1">
        <v>453248000</v>
      </c>
      <c r="H12" s="1">
        <v>599076000</v>
      </c>
      <c r="I12" s="1">
        <v>1201640000</v>
      </c>
      <c r="J12" s="1">
        <v>1475000000</v>
      </c>
      <c r="P12" s="19" t="s">
        <v>117</v>
      </c>
      <c r="Q12" s="20" t="s">
        <v>118</v>
      </c>
      <c r="R12" s="20" t="s">
        <v>119</v>
      </c>
      <c r="S12" s="20" t="s">
        <v>120</v>
      </c>
    </row>
    <row r="13" spans="1:38" ht="19">
      <c r="A13" s="14" t="s">
        <v>100</v>
      </c>
      <c r="B13" s="15">
        <f>B12/B3</f>
        <v>1.5287003169958546</v>
      </c>
      <c r="C13" s="15">
        <f t="shared" ref="C13:J13" si="2">C12/C3</f>
        <v>1.1304084649679305</v>
      </c>
      <c r="D13" s="15">
        <f t="shared" si="2"/>
        <v>0.92836470690967154</v>
      </c>
      <c r="E13" s="15">
        <f t="shared" si="2"/>
        <v>0.86455632908958036</v>
      </c>
      <c r="F13" s="15">
        <f t="shared" si="2"/>
        <v>0.75909070416326452</v>
      </c>
      <c r="G13" s="15">
        <f t="shared" si="2"/>
        <v>0.77337232773727238</v>
      </c>
      <c r="H13" s="15">
        <f t="shared" si="2"/>
        <v>0.71709215919102154</v>
      </c>
      <c r="I13" s="15">
        <f t="shared" si="2"/>
        <v>0.92419556668545866</v>
      </c>
      <c r="J13" s="15">
        <f t="shared" si="2"/>
        <v>0.79386437029063506</v>
      </c>
      <c r="P13" s="17">
        <f>J28/J72</f>
        <v>-0.1491035492133187</v>
      </c>
      <c r="Q13" s="21">
        <f>J28/J54</f>
        <v>-8.7568496830342749E-2</v>
      </c>
      <c r="R13" s="21">
        <f>J22/(J72+J56+J61)</f>
        <v>-0.10408921933085502</v>
      </c>
      <c r="S13" s="22">
        <f>J67/J72</f>
        <v>0.70270764727405777</v>
      </c>
    </row>
    <row r="14" spans="1:38" ht="19">
      <c r="A14" s="5" t="s">
        <v>9</v>
      </c>
      <c r="B14" s="1" t="s">
        <v>92</v>
      </c>
      <c r="C14" s="1" t="s">
        <v>92</v>
      </c>
      <c r="D14" s="1" t="s">
        <v>92</v>
      </c>
      <c r="E14" s="1" t="s">
        <v>92</v>
      </c>
      <c r="F14" s="1" t="s">
        <v>92</v>
      </c>
      <c r="G14" s="1" t="s">
        <v>92</v>
      </c>
      <c r="H14" s="1" t="s">
        <v>92</v>
      </c>
      <c r="I14" s="1" t="s">
        <v>92</v>
      </c>
      <c r="J14" s="1">
        <v>29000000</v>
      </c>
    </row>
    <row r="15" spans="1:38" ht="20">
      <c r="A15" s="5" t="s">
        <v>10</v>
      </c>
      <c r="B15" s="1">
        <v>81062000</v>
      </c>
      <c r="C15" s="1">
        <v>125871000</v>
      </c>
      <c r="D15" s="1">
        <v>187500000</v>
      </c>
      <c r="E15" s="1">
        <v>295597000</v>
      </c>
      <c r="F15" s="1">
        <v>405455000</v>
      </c>
      <c r="G15" s="1">
        <v>612517000</v>
      </c>
      <c r="H15" s="1">
        <v>821902000</v>
      </c>
      <c r="I15" s="1">
        <v>1670899000</v>
      </c>
      <c r="J15" s="1">
        <v>2124000000</v>
      </c>
      <c r="P15" s="19" t="s">
        <v>121</v>
      </c>
      <c r="Q15" s="20" t="s">
        <v>122</v>
      </c>
      <c r="R15" s="20" t="s">
        <v>123</v>
      </c>
      <c r="S15" s="20" t="s">
        <v>124</v>
      </c>
    </row>
    <row r="16" spans="1:38" ht="19">
      <c r="A16" s="5" t="s">
        <v>11</v>
      </c>
      <c r="B16" s="1">
        <v>99792000</v>
      </c>
      <c r="C16" s="1">
        <v>161895000</v>
      </c>
      <c r="D16" s="1">
        <v>243449000</v>
      </c>
      <c r="E16" s="1">
        <v>376352000</v>
      </c>
      <c r="F16" s="1">
        <v>518876000</v>
      </c>
      <c r="G16" s="1">
        <v>771899000</v>
      </c>
      <c r="H16" s="1">
        <v>1039583000</v>
      </c>
      <c r="I16" s="1">
        <v>2067304000</v>
      </c>
      <c r="J16" s="1">
        <v>2670000000</v>
      </c>
      <c r="P16" s="31">
        <f>(J35+I35+H35+G35+F35)/5</f>
        <v>0.14143946473480479</v>
      </c>
      <c r="Q16" s="32">
        <f>R101/J3</f>
        <v>5.9884499461786866</v>
      </c>
      <c r="R16" s="32">
        <f>R101/J28</f>
        <v>-13.652196319018405</v>
      </c>
      <c r="S16" s="33">
        <f>R101/J106</f>
        <v>171.17753846153846</v>
      </c>
    </row>
    <row r="17" spans="1:19" ht="19">
      <c r="A17" s="5" t="s">
        <v>12</v>
      </c>
      <c r="B17" s="1" t="s">
        <v>92</v>
      </c>
      <c r="C17" s="1" t="s">
        <v>92</v>
      </c>
      <c r="D17" s="1" t="s">
        <v>92</v>
      </c>
      <c r="E17" s="1" t="s">
        <v>92</v>
      </c>
      <c r="F17" s="1">
        <v>15072000</v>
      </c>
      <c r="G17" s="1">
        <v>27017000</v>
      </c>
      <c r="H17" s="1">
        <v>72660000</v>
      </c>
      <c r="I17" s="1">
        <v>92182000</v>
      </c>
      <c r="J17" s="1">
        <v>11000000</v>
      </c>
    </row>
    <row r="18" spans="1:19" ht="20">
      <c r="A18" s="5" t="s">
        <v>13</v>
      </c>
      <c r="B18" s="1">
        <v>1923000</v>
      </c>
      <c r="C18" s="1">
        <v>2889000</v>
      </c>
      <c r="D18" s="1">
        <v>4568000</v>
      </c>
      <c r="E18" s="1">
        <v>7001000</v>
      </c>
      <c r="F18" s="1">
        <v>8001000</v>
      </c>
      <c r="G18" s="1">
        <v>17815000</v>
      </c>
      <c r="H18" s="1">
        <v>36865000</v>
      </c>
      <c r="I18" s="1">
        <v>107612000</v>
      </c>
      <c r="J18" s="1">
        <v>114000000</v>
      </c>
      <c r="P18" s="19" t="s">
        <v>125</v>
      </c>
      <c r="Q18" s="20" t="s">
        <v>159</v>
      </c>
      <c r="R18" s="20" t="s">
        <v>160</v>
      </c>
      <c r="S18" s="20" t="s">
        <v>161</v>
      </c>
    </row>
    <row r="19" spans="1:19" ht="19">
      <c r="A19" s="6" t="s">
        <v>14</v>
      </c>
      <c r="B19" s="10">
        <v>-57058000</v>
      </c>
      <c r="C19" s="10">
        <v>-73118000</v>
      </c>
      <c r="D19" s="10">
        <v>-78516000</v>
      </c>
      <c r="E19" s="10">
        <v>-107679000</v>
      </c>
      <c r="F19" s="10">
        <v>-102441000</v>
      </c>
      <c r="G19" s="10">
        <v>-165500000</v>
      </c>
      <c r="H19" s="10">
        <v>-156666000</v>
      </c>
      <c r="I19" s="10">
        <v>-649902000</v>
      </c>
      <c r="J19" s="10">
        <v>-676000000</v>
      </c>
      <c r="K19" s="61">
        <v>165000000</v>
      </c>
      <c r="L19" s="61">
        <v>249500000</v>
      </c>
      <c r="M19" s="61">
        <v>426800000</v>
      </c>
      <c r="N19" s="61">
        <v>782800000</v>
      </c>
      <c r="O19" s="61">
        <v>1036000000</v>
      </c>
      <c r="P19" s="34">
        <f>J40-J56-J61</f>
        <v>245000000</v>
      </c>
      <c r="Q19" s="32">
        <f>R101/K3</f>
        <v>5.1369067405355491</v>
      </c>
      <c r="R19" s="32">
        <f>R101/K28</f>
        <v>81.453440702781847</v>
      </c>
      <c r="S19" s="33">
        <f>R101/K105</f>
        <v>41.011942499078508</v>
      </c>
    </row>
    <row r="20" spans="1:19" ht="19" customHeight="1">
      <c r="A20" s="14" t="s">
        <v>101</v>
      </c>
      <c r="B20" s="1"/>
      <c r="C20" s="15">
        <f>(C19/B19)-1</f>
        <v>0.28146797995022599</v>
      </c>
      <c r="D20" s="15">
        <f>(D19/C19)-1</f>
        <v>7.3825870510681346E-2</v>
      </c>
      <c r="E20" s="15">
        <f>(E19/D19)-1</f>
        <v>0.37142747974935042</v>
      </c>
      <c r="F20" s="15">
        <f t="shared" ref="F20:J20" si="3">(F19/E19)-1</f>
        <v>-4.864458250912429E-2</v>
      </c>
      <c r="G20" s="15">
        <f t="shared" si="3"/>
        <v>0.61556408078796565</v>
      </c>
      <c r="H20" s="15">
        <f t="shared" si="3"/>
        <v>-5.3377643504531669E-2</v>
      </c>
      <c r="I20" s="15">
        <f t="shared" si="3"/>
        <v>3.148328290758684</v>
      </c>
      <c r="J20" s="15">
        <f t="shared" si="3"/>
        <v>4.0156823644180273E-2</v>
      </c>
      <c r="K20" s="16">
        <f t="shared" ref="K20" si="4">(K19/J19)-1</f>
        <v>-1.2440828402366864</v>
      </c>
      <c r="L20" s="16">
        <f t="shared" ref="L20" si="5">(L19/K19)-1</f>
        <v>0.5121212121212122</v>
      </c>
      <c r="M20" s="16">
        <f t="shared" ref="M20" si="6">(M19/L19)-1</f>
        <v>0.71062124248497005</v>
      </c>
      <c r="N20" s="16">
        <f t="shared" ref="N20" si="7">(N19/M19)-1</f>
        <v>0.83411433926897849</v>
      </c>
      <c r="O20" s="16">
        <f t="shared" ref="O20" si="8">(O19/N19)-1</f>
        <v>0.32345426673479816</v>
      </c>
    </row>
    <row r="21" spans="1:19" ht="19">
      <c r="A21" s="5" t="s">
        <v>15</v>
      </c>
      <c r="B21" s="2">
        <v>-1.3913</v>
      </c>
      <c r="C21" s="2">
        <v>-0.85109999999999997</v>
      </c>
      <c r="D21" s="2">
        <v>-0.48970000000000002</v>
      </c>
      <c r="E21" s="2">
        <v>-0.41420000000000001</v>
      </c>
      <c r="F21" s="2">
        <v>-0.25659999999999999</v>
      </c>
      <c r="G21" s="2">
        <v>-0.28239999999999998</v>
      </c>
      <c r="H21" s="2">
        <v>-0.1875</v>
      </c>
      <c r="I21" s="2">
        <v>-0.49980000000000002</v>
      </c>
      <c r="J21" s="2">
        <v>-0.36380000000000001</v>
      </c>
      <c r="K21" s="62">
        <f>K19/K3</f>
        <v>7.6177285318559551E-2</v>
      </c>
      <c r="L21" s="62">
        <f>L19/L3</f>
        <v>9.7270955165692008E-2</v>
      </c>
      <c r="M21" s="62">
        <f>M19/M3</f>
        <v>0.13648864726574991</v>
      </c>
      <c r="N21" s="62">
        <f>N19/N3</f>
        <v>0.16998914223669925</v>
      </c>
      <c r="O21" s="62">
        <f>O19/O3</f>
        <v>0.21273100616016427</v>
      </c>
    </row>
    <row r="22" spans="1:19" ht="19">
      <c r="A22" s="6" t="s">
        <v>16</v>
      </c>
      <c r="B22" s="10">
        <v>-58782000</v>
      </c>
      <c r="C22" s="10">
        <v>-75988000</v>
      </c>
      <c r="D22" s="10">
        <v>-83123000</v>
      </c>
      <c r="E22" s="10">
        <v>-116362000</v>
      </c>
      <c r="F22" s="10">
        <v>-119622000</v>
      </c>
      <c r="G22" s="10">
        <v>-185832000</v>
      </c>
      <c r="H22" s="10">
        <v>-204159000</v>
      </c>
      <c r="I22" s="10">
        <v>-767103000</v>
      </c>
      <c r="J22" s="10">
        <v>-812000000</v>
      </c>
    </row>
    <row r="23" spans="1:19" ht="19">
      <c r="A23" s="5" t="s">
        <v>17</v>
      </c>
      <c r="B23" s="2">
        <v>-1.4334</v>
      </c>
      <c r="C23" s="2">
        <v>-0.88449999999999995</v>
      </c>
      <c r="D23" s="2">
        <v>-0.51849999999999996</v>
      </c>
      <c r="E23" s="2">
        <v>-0.4476</v>
      </c>
      <c r="F23" s="2">
        <v>-0.29959999999999998</v>
      </c>
      <c r="G23" s="2">
        <v>-0.31709999999999999</v>
      </c>
      <c r="H23" s="2">
        <v>-0.24440000000000001</v>
      </c>
      <c r="I23" s="2">
        <v>-0.59</v>
      </c>
      <c r="J23" s="2">
        <v>-0.437</v>
      </c>
    </row>
    <row r="24" spans="1:19" ht="19">
      <c r="A24" s="5" t="s">
        <v>18</v>
      </c>
      <c r="B24" s="1">
        <v>-199000</v>
      </c>
      <c r="C24" s="1">
        <v>-19000</v>
      </c>
      <c r="D24" s="1">
        <v>39000</v>
      </c>
      <c r="E24" s="1">
        <v>1682000</v>
      </c>
      <c r="F24" s="1">
        <v>-5892000</v>
      </c>
      <c r="G24" s="1">
        <v>-24500000</v>
      </c>
      <c r="H24" s="1">
        <v>-62032000</v>
      </c>
      <c r="I24" s="1">
        <v>-82593000</v>
      </c>
      <c r="J24" s="1">
        <v>11000000</v>
      </c>
    </row>
    <row r="25" spans="1:19" ht="19">
      <c r="A25" s="6" t="s">
        <v>19</v>
      </c>
      <c r="B25" s="10">
        <v>-58981000</v>
      </c>
      <c r="C25" s="10">
        <v>-76007000</v>
      </c>
      <c r="D25" s="10">
        <v>-83084000</v>
      </c>
      <c r="E25" s="10">
        <v>-114680000</v>
      </c>
      <c r="F25" s="10">
        <v>-125514000</v>
      </c>
      <c r="G25" s="10">
        <v>-210332000</v>
      </c>
      <c r="H25" s="10">
        <v>-266191000</v>
      </c>
      <c r="I25" s="10">
        <v>-849696000</v>
      </c>
      <c r="J25" s="10">
        <v>-801000000</v>
      </c>
    </row>
    <row r="26" spans="1:19" ht="19">
      <c r="A26" s="5" t="s">
        <v>20</v>
      </c>
      <c r="B26" s="2">
        <v>-1.4381999999999999</v>
      </c>
      <c r="C26" s="2">
        <v>-0.88480000000000003</v>
      </c>
      <c r="D26" s="2">
        <v>-0.51819999999999999</v>
      </c>
      <c r="E26" s="2">
        <v>-0.44109999999999999</v>
      </c>
      <c r="F26" s="2">
        <v>-0.31440000000000001</v>
      </c>
      <c r="G26" s="2">
        <v>-0.3589</v>
      </c>
      <c r="H26" s="2">
        <v>-0.31859999999999999</v>
      </c>
      <c r="I26" s="2">
        <v>-0.65349999999999997</v>
      </c>
      <c r="J26" s="2">
        <v>-0.43109999999999998</v>
      </c>
    </row>
    <row r="27" spans="1:19" ht="19">
      <c r="A27" s="5" t="s">
        <v>21</v>
      </c>
      <c r="B27" s="1">
        <v>130000</v>
      </c>
      <c r="C27" s="1">
        <v>295000</v>
      </c>
      <c r="D27" s="1">
        <v>425000</v>
      </c>
      <c r="E27" s="1">
        <v>-321000</v>
      </c>
      <c r="F27" s="1">
        <v>-17000</v>
      </c>
      <c r="G27" s="1">
        <v>-1419000</v>
      </c>
      <c r="H27" s="1">
        <v>141000</v>
      </c>
      <c r="I27" s="1">
        <v>-1285000</v>
      </c>
      <c r="J27" s="1">
        <v>14000000</v>
      </c>
    </row>
    <row r="28" spans="1:19" ht="20" thickBot="1">
      <c r="A28" s="7" t="s">
        <v>22</v>
      </c>
      <c r="B28" s="11">
        <v>-59111000</v>
      </c>
      <c r="C28" s="11">
        <v>-76302000</v>
      </c>
      <c r="D28" s="11">
        <v>-83509000</v>
      </c>
      <c r="E28" s="11">
        <v>-114359000</v>
      </c>
      <c r="F28" s="11">
        <v>-125497000</v>
      </c>
      <c r="G28" s="11">
        <v>-208913000</v>
      </c>
      <c r="H28" s="11">
        <v>-266332000</v>
      </c>
      <c r="I28" s="11">
        <v>-848411000</v>
      </c>
      <c r="J28" s="11">
        <v>-815000000</v>
      </c>
      <c r="K28" s="63">
        <v>136600000</v>
      </c>
      <c r="L28" s="63">
        <v>211300000</v>
      </c>
      <c r="M28" s="63">
        <v>341700000</v>
      </c>
      <c r="N28" s="63">
        <v>1003000000</v>
      </c>
      <c r="O28" s="63">
        <v>1355000000</v>
      </c>
    </row>
    <row r="29" spans="1:19" ht="20" customHeight="1" thickTop="1">
      <c r="A29" s="14" t="s">
        <v>102</v>
      </c>
      <c r="B29" s="1"/>
      <c r="C29" s="15">
        <f>(C28/B28)-1</f>
        <v>0.29082573463483952</v>
      </c>
      <c r="D29" s="15">
        <f>(D28/C28)-1</f>
        <v>9.4453618515897286E-2</v>
      </c>
      <c r="E29" s="15">
        <f>(E28/D28)-1</f>
        <v>0.36942125998395392</v>
      </c>
      <c r="F29" s="15">
        <f t="shared" ref="F29:J29" si="9">(F28/E28)-1</f>
        <v>9.7395045427119964E-2</v>
      </c>
      <c r="G29" s="15">
        <f t="shared" si="9"/>
        <v>0.66468521159868366</v>
      </c>
      <c r="H29" s="15">
        <f t="shared" si="9"/>
        <v>0.2748464671896913</v>
      </c>
      <c r="I29" s="15">
        <f t="shared" si="9"/>
        <v>2.1855391015724734</v>
      </c>
      <c r="J29" s="15">
        <f t="shared" si="9"/>
        <v>-3.9380677525397534E-2</v>
      </c>
      <c r="K29" s="16">
        <f t="shared" ref="K29" si="10">(K28/J28)-1</f>
        <v>-1.1676073619631901</v>
      </c>
      <c r="L29" s="16">
        <f t="shared" ref="L29" si="11">(L28/K28)-1</f>
        <v>0.54685212298682284</v>
      </c>
      <c r="M29" s="16">
        <f t="shared" ref="M29" si="12">(M28/L28)-1</f>
        <v>0.6171320397539044</v>
      </c>
      <c r="N29" s="16">
        <f t="shared" ref="N29" si="13">(N28/M28)-1</f>
        <v>1.9353233830845773</v>
      </c>
      <c r="O29" s="16">
        <f t="shared" ref="O29" si="14">(O28/N28)-1</f>
        <v>0.35094715852442682</v>
      </c>
    </row>
    <row r="30" spans="1:19" ht="19">
      <c r="A30" s="5" t="s">
        <v>23</v>
      </c>
      <c r="B30" s="2">
        <v>-1.4414</v>
      </c>
      <c r="C30" s="2">
        <v>-0.88819999999999999</v>
      </c>
      <c r="D30" s="2">
        <v>-0.52090000000000003</v>
      </c>
      <c r="E30" s="2">
        <v>-0.43990000000000001</v>
      </c>
      <c r="F30" s="2">
        <v>-0.31430000000000002</v>
      </c>
      <c r="G30" s="2">
        <v>-0.35649999999999998</v>
      </c>
      <c r="H30" s="2">
        <v>-0.31879999999999997</v>
      </c>
      <c r="I30" s="2">
        <v>-0.65249999999999997</v>
      </c>
      <c r="J30" s="2">
        <v>-0.43859999999999999</v>
      </c>
      <c r="K30" s="64">
        <f>K28/K3</f>
        <v>6.3065558633425667E-2</v>
      </c>
      <c r="L30" s="64">
        <f t="shared" ref="L30:O30" si="15">L28/L3</f>
        <v>8.2378167641325536E-2</v>
      </c>
      <c r="M30" s="64">
        <f t="shared" si="15"/>
        <v>0.10927406459865686</v>
      </c>
      <c r="N30" s="64">
        <f t="shared" si="15"/>
        <v>0.21780673181324647</v>
      </c>
      <c r="O30" s="64">
        <f t="shared" si="15"/>
        <v>0.27823408624229978</v>
      </c>
    </row>
    <row r="31" spans="1:19" ht="19">
      <c r="A31" s="5" t="s">
        <v>24</v>
      </c>
      <c r="B31" s="12">
        <v>-0.65</v>
      </c>
      <c r="C31" s="12">
        <v>-0.84</v>
      </c>
      <c r="D31" s="12">
        <v>-0.92</v>
      </c>
      <c r="E31" s="12">
        <v>-1.38</v>
      </c>
      <c r="F31" s="12">
        <v>-1.17</v>
      </c>
      <c r="G31" s="12">
        <v>-1.78</v>
      </c>
      <c r="H31" s="12">
        <v>-2.09</v>
      </c>
      <c r="I31" s="12">
        <v>-5.52</v>
      </c>
      <c r="J31" s="12">
        <v>-5.16</v>
      </c>
      <c r="K31" s="65">
        <v>0.84</v>
      </c>
      <c r="L31" s="65">
        <v>1.3</v>
      </c>
      <c r="M31" s="65">
        <v>2.1</v>
      </c>
      <c r="N31" s="65">
        <v>6.18</v>
      </c>
      <c r="O31" s="65">
        <v>8.34</v>
      </c>
    </row>
    <row r="32" spans="1:19" ht="19">
      <c r="A32" s="5" t="s">
        <v>25</v>
      </c>
      <c r="B32" s="12">
        <v>-0.65</v>
      </c>
      <c r="C32" s="12">
        <v>-0.84</v>
      </c>
      <c r="D32" s="12">
        <v>-0.92</v>
      </c>
      <c r="E32" s="12">
        <v>-1.38</v>
      </c>
      <c r="F32" s="12">
        <v>-1.17</v>
      </c>
      <c r="G32" s="12">
        <v>-1.78</v>
      </c>
      <c r="H32" s="12">
        <v>-2.09</v>
      </c>
      <c r="I32" s="12">
        <v>-5.52</v>
      </c>
      <c r="J32" s="12">
        <v>-5.16</v>
      </c>
    </row>
    <row r="33" spans="1:10" ht="19">
      <c r="A33" s="5" t="s">
        <v>26</v>
      </c>
      <c r="B33" s="1">
        <v>90758777</v>
      </c>
      <c r="C33" s="1">
        <v>90758777</v>
      </c>
      <c r="D33" s="1">
        <v>90758777</v>
      </c>
      <c r="E33" s="1">
        <v>83004000</v>
      </c>
      <c r="F33" s="1">
        <v>107504000</v>
      </c>
      <c r="G33" s="1">
        <v>117221000</v>
      </c>
      <c r="H33" s="1">
        <v>127212000</v>
      </c>
      <c r="I33" s="1">
        <v>153756000</v>
      </c>
      <c r="J33" s="1">
        <v>158023000</v>
      </c>
    </row>
    <row r="34" spans="1:10" ht="19">
      <c r="A34" s="5" t="s">
        <v>27</v>
      </c>
      <c r="B34" s="1">
        <v>90758777</v>
      </c>
      <c r="C34" s="1">
        <v>90758777</v>
      </c>
      <c r="D34" s="1">
        <v>90758777</v>
      </c>
      <c r="E34" s="1">
        <v>83004000</v>
      </c>
      <c r="F34" s="1">
        <v>107504000</v>
      </c>
      <c r="G34" s="1">
        <v>117221000</v>
      </c>
      <c r="H34" s="1">
        <v>127212000</v>
      </c>
      <c r="I34" s="1">
        <v>153756000</v>
      </c>
      <c r="J34" s="1">
        <v>158023000</v>
      </c>
    </row>
    <row r="35" spans="1:10" ht="20" customHeight="1">
      <c r="A35" s="14" t="s">
        <v>103</v>
      </c>
      <c r="B35" s="1"/>
      <c r="C35" s="23">
        <f>(C34-B34)/B34</f>
        <v>0</v>
      </c>
      <c r="D35" s="23">
        <f t="shared" ref="D35:J35" si="16">(D34-C34)/C34</f>
        <v>0</v>
      </c>
      <c r="E35" s="23">
        <f t="shared" si="16"/>
        <v>-8.5443824347699177E-2</v>
      </c>
      <c r="F35" s="23">
        <f t="shared" si="16"/>
        <v>0.29516649800009637</v>
      </c>
      <c r="G35" s="23">
        <f t="shared" si="16"/>
        <v>9.0387334424765584E-2</v>
      </c>
      <c r="H35" s="23">
        <f t="shared" si="16"/>
        <v>8.5232168297489364E-2</v>
      </c>
      <c r="I35" s="23">
        <f t="shared" si="16"/>
        <v>0.20865956041882841</v>
      </c>
      <c r="J35" s="23">
        <f t="shared" si="16"/>
        <v>2.7751762532844247E-2</v>
      </c>
    </row>
    <row r="36" spans="1:10" ht="19">
      <c r="A36" s="5" t="s">
        <v>28</v>
      </c>
      <c r="B36" s="13" t="s">
        <v>93</v>
      </c>
      <c r="C36" s="13" t="s">
        <v>93</v>
      </c>
      <c r="D36" s="13" t="s">
        <v>93</v>
      </c>
      <c r="E36" s="13" t="s">
        <v>93</v>
      </c>
      <c r="F36" s="13" t="s">
        <v>93</v>
      </c>
      <c r="G36" s="13" t="s">
        <v>93</v>
      </c>
      <c r="H36" s="13" t="s">
        <v>93</v>
      </c>
      <c r="I36" s="13" t="s">
        <v>93</v>
      </c>
      <c r="J36" s="13" t="s">
        <v>93</v>
      </c>
    </row>
    <row r="37" spans="1:10" ht="21">
      <c r="A37" s="4" t="s">
        <v>29</v>
      </c>
      <c r="B37" s="9" t="s">
        <v>91</v>
      </c>
      <c r="C37" s="9" t="s">
        <v>91</v>
      </c>
      <c r="D37" s="9" t="s">
        <v>91</v>
      </c>
      <c r="E37" s="9" t="s">
        <v>91</v>
      </c>
      <c r="F37" s="9" t="s">
        <v>91</v>
      </c>
      <c r="G37" s="9" t="s">
        <v>91</v>
      </c>
      <c r="H37" s="9" t="s">
        <v>91</v>
      </c>
      <c r="I37" s="9" t="s">
        <v>91</v>
      </c>
      <c r="J37" s="9" t="s">
        <v>91</v>
      </c>
    </row>
    <row r="38" spans="1:10" ht="19">
      <c r="A38" s="5" t="s">
        <v>30</v>
      </c>
      <c r="B38" s="1">
        <v>18197000</v>
      </c>
      <c r="C38" s="1">
        <v>54408000</v>
      </c>
      <c r="D38" s="1">
        <v>23282000</v>
      </c>
      <c r="E38" s="1">
        <v>127949000</v>
      </c>
      <c r="F38" s="1">
        <v>298394000</v>
      </c>
      <c r="G38" s="1">
        <v>520048000</v>
      </c>
      <c r="H38" s="1">
        <v>434607000</v>
      </c>
      <c r="I38" s="1">
        <v>260134000</v>
      </c>
      <c r="J38" s="1">
        <v>264000000</v>
      </c>
    </row>
    <row r="39" spans="1:10" ht="19">
      <c r="A39" s="5" t="s">
        <v>31</v>
      </c>
      <c r="B39" s="1">
        <v>41845000</v>
      </c>
      <c r="C39" s="1">
        <v>33537000</v>
      </c>
      <c r="D39" s="1">
        <v>14390000</v>
      </c>
      <c r="E39" s="1">
        <v>101765000</v>
      </c>
      <c r="F39" s="1">
        <v>265374000</v>
      </c>
      <c r="G39" s="1">
        <v>882976000</v>
      </c>
      <c r="H39" s="1">
        <v>2121584000</v>
      </c>
      <c r="I39" s="1">
        <v>2241657000</v>
      </c>
      <c r="J39" s="1">
        <v>2316000000</v>
      </c>
    </row>
    <row r="40" spans="1:10" ht="19">
      <c r="A40" s="5" t="s">
        <v>32</v>
      </c>
      <c r="B40" s="1">
        <v>60042000</v>
      </c>
      <c r="C40" s="1">
        <v>87945000</v>
      </c>
      <c r="D40" s="1">
        <v>37672000</v>
      </c>
      <c r="E40" s="1">
        <v>229714000</v>
      </c>
      <c r="F40" s="1">
        <v>563768000</v>
      </c>
      <c r="G40" s="1">
        <v>1403024000</v>
      </c>
      <c r="H40" s="1">
        <v>2556191000</v>
      </c>
      <c r="I40" s="1">
        <v>2501791000</v>
      </c>
      <c r="J40" s="1">
        <v>2580000000</v>
      </c>
    </row>
    <row r="41" spans="1:10" ht="19">
      <c r="A41" s="5" t="s">
        <v>33</v>
      </c>
      <c r="B41" s="1">
        <v>13085000</v>
      </c>
      <c r="C41" s="1">
        <v>23009000</v>
      </c>
      <c r="D41" s="1">
        <v>34544000</v>
      </c>
      <c r="E41" s="1">
        <v>52248000</v>
      </c>
      <c r="F41" s="1">
        <v>91926000</v>
      </c>
      <c r="G41" s="1">
        <v>130115000</v>
      </c>
      <c r="H41" s="1">
        <v>194818000</v>
      </c>
      <c r="I41" s="1">
        <v>397509000</v>
      </c>
      <c r="J41" s="1">
        <v>481000000</v>
      </c>
    </row>
    <row r="42" spans="1:10" ht="19">
      <c r="A42" s="5" t="s">
        <v>34</v>
      </c>
      <c r="B42" s="1" t="s">
        <v>92</v>
      </c>
      <c r="C42" s="1" t="s">
        <v>92</v>
      </c>
      <c r="D42" s="1" t="s">
        <v>92</v>
      </c>
      <c r="E42" s="1" t="s">
        <v>92</v>
      </c>
      <c r="F42" s="1" t="s">
        <v>92</v>
      </c>
      <c r="G42" s="1" t="s">
        <v>92</v>
      </c>
      <c r="H42" s="1" t="s">
        <v>92</v>
      </c>
      <c r="I42" s="1" t="s">
        <v>92</v>
      </c>
      <c r="J42" s="1" t="s">
        <v>92</v>
      </c>
    </row>
    <row r="43" spans="1:10" ht="19">
      <c r="A43" s="5" t="s">
        <v>35</v>
      </c>
      <c r="B43" s="1">
        <v>9409000</v>
      </c>
      <c r="C43" s="1">
        <v>14714000</v>
      </c>
      <c r="D43" s="1">
        <v>20574000</v>
      </c>
      <c r="E43" s="1">
        <v>33454000</v>
      </c>
      <c r="F43" s="1">
        <v>53636000</v>
      </c>
      <c r="G43" s="1">
        <v>66586000</v>
      </c>
      <c r="H43" s="1">
        <v>127558000</v>
      </c>
      <c r="I43" s="1">
        <v>141333000</v>
      </c>
      <c r="J43" s="1">
        <v>168000000</v>
      </c>
    </row>
    <row r="44" spans="1:10" ht="19">
      <c r="A44" s="6" t="s">
        <v>36</v>
      </c>
      <c r="B44" s="10">
        <v>82536000</v>
      </c>
      <c r="C44" s="10">
        <v>125668000</v>
      </c>
      <c r="D44" s="10">
        <v>92790000</v>
      </c>
      <c r="E44" s="10">
        <v>315416000</v>
      </c>
      <c r="F44" s="10">
        <v>709330000</v>
      </c>
      <c r="G44" s="10">
        <v>1599725000</v>
      </c>
      <c r="H44" s="10">
        <v>2878567000</v>
      </c>
      <c r="I44" s="10">
        <v>3040633000</v>
      </c>
      <c r="J44" s="10">
        <v>3229000000</v>
      </c>
    </row>
    <row r="45" spans="1:10" ht="19">
      <c r="A45" s="5" t="s">
        <v>37</v>
      </c>
      <c r="B45" s="1">
        <v>1492000</v>
      </c>
      <c r="C45" s="1">
        <v>5249000</v>
      </c>
      <c r="D45" s="1">
        <v>11026000</v>
      </c>
      <c r="E45" s="1">
        <v>12540000</v>
      </c>
      <c r="F45" s="1">
        <v>52921000</v>
      </c>
      <c r="G45" s="1">
        <v>178739000</v>
      </c>
      <c r="H45" s="1">
        <v>212387000</v>
      </c>
      <c r="I45" s="1">
        <v>213428000</v>
      </c>
      <c r="J45" s="1">
        <v>181000000</v>
      </c>
    </row>
    <row r="46" spans="1:10" ht="19">
      <c r="A46" s="5" t="s">
        <v>38</v>
      </c>
      <c r="B46" s="1">
        <v>2630000</v>
      </c>
      <c r="C46" s="1">
        <v>2630000</v>
      </c>
      <c r="D46" s="1">
        <v>2630000</v>
      </c>
      <c r="E46" s="1">
        <v>6282000</v>
      </c>
      <c r="F46" s="1">
        <v>18089000</v>
      </c>
      <c r="G46" s="1">
        <v>48023000</v>
      </c>
      <c r="H46" s="1">
        <v>48023000</v>
      </c>
      <c r="I46" s="1">
        <v>5401343000</v>
      </c>
      <c r="J46" s="1">
        <v>5400000000</v>
      </c>
    </row>
    <row r="47" spans="1:10" ht="19">
      <c r="A47" s="5" t="s">
        <v>39</v>
      </c>
      <c r="B47" s="1">
        <v>2093000</v>
      </c>
      <c r="C47" s="1">
        <v>4053000</v>
      </c>
      <c r="D47" s="1">
        <v>9155000</v>
      </c>
      <c r="E47" s="1">
        <v>11761000</v>
      </c>
      <c r="F47" s="1">
        <v>13896000</v>
      </c>
      <c r="G47" s="1">
        <v>32529000</v>
      </c>
      <c r="H47" s="1">
        <v>27009000</v>
      </c>
      <c r="I47" s="1">
        <v>316968000</v>
      </c>
      <c r="J47" s="1">
        <v>241000000</v>
      </c>
    </row>
    <row r="48" spans="1:10" ht="19">
      <c r="A48" s="5" t="s">
        <v>40</v>
      </c>
      <c r="B48" s="1">
        <v>4723000</v>
      </c>
      <c r="C48" s="1">
        <v>6683000</v>
      </c>
      <c r="D48" s="1">
        <v>11785000</v>
      </c>
      <c r="E48" s="1">
        <v>18043000</v>
      </c>
      <c r="F48" s="1">
        <v>31985000</v>
      </c>
      <c r="G48" s="1">
        <v>80552000</v>
      </c>
      <c r="H48" s="1">
        <v>75032000</v>
      </c>
      <c r="I48" s="1">
        <v>5718311000</v>
      </c>
      <c r="J48" s="1">
        <v>5641000000</v>
      </c>
    </row>
    <row r="49" spans="1:10" ht="19">
      <c r="A49" s="5" t="s">
        <v>41</v>
      </c>
      <c r="B49" s="1" t="s">
        <v>92</v>
      </c>
      <c r="C49" s="1" t="s">
        <v>92</v>
      </c>
      <c r="D49" s="1" t="s">
        <v>92</v>
      </c>
      <c r="E49" s="1" t="s">
        <v>92</v>
      </c>
      <c r="F49" s="1" t="s">
        <v>92</v>
      </c>
      <c r="G49" s="1" t="s">
        <v>92</v>
      </c>
      <c r="H49" s="1" t="s">
        <v>92</v>
      </c>
      <c r="I49" s="1" t="s">
        <v>92</v>
      </c>
      <c r="J49" s="1" t="s">
        <v>92</v>
      </c>
    </row>
    <row r="50" spans="1:10" ht="19">
      <c r="A50" s="5" t="s">
        <v>42</v>
      </c>
      <c r="B50" s="1" t="s">
        <v>92</v>
      </c>
      <c r="C50" s="1" t="s">
        <v>92</v>
      </c>
      <c r="D50" s="1" t="s">
        <v>92</v>
      </c>
      <c r="E50" s="1" t="s">
        <v>92</v>
      </c>
      <c r="F50" s="1" t="s">
        <v>92</v>
      </c>
      <c r="G50" s="1" t="s">
        <v>92</v>
      </c>
      <c r="H50" s="1" t="s">
        <v>92</v>
      </c>
      <c r="I50" s="1" t="s">
        <v>92</v>
      </c>
      <c r="J50" s="1" t="s">
        <v>92</v>
      </c>
    </row>
    <row r="51" spans="1:10" ht="19">
      <c r="A51" s="5" t="s">
        <v>43</v>
      </c>
      <c r="B51" s="1">
        <v>8299000</v>
      </c>
      <c r="C51" s="1">
        <v>12163000</v>
      </c>
      <c r="D51" s="1">
        <v>15034000</v>
      </c>
      <c r="E51" s="1">
        <v>21398000</v>
      </c>
      <c r="F51" s="1">
        <v>70098000</v>
      </c>
      <c r="G51" s="1">
        <v>96379000</v>
      </c>
      <c r="H51" s="1">
        <v>132811000</v>
      </c>
      <c r="I51" s="1">
        <v>233323000</v>
      </c>
      <c r="J51" s="1">
        <v>256000000</v>
      </c>
    </row>
    <row r="52" spans="1:10" ht="19">
      <c r="A52" s="5" t="s">
        <v>44</v>
      </c>
      <c r="B52" s="1">
        <v>14514000</v>
      </c>
      <c r="C52" s="1">
        <v>24095000</v>
      </c>
      <c r="D52" s="1">
        <v>37845000</v>
      </c>
      <c r="E52" s="1">
        <v>51981000</v>
      </c>
      <c r="F52" s="1">
        <v>155004000</v>
      </c>
      <c r="G52" s="1">
        <v>355670000</v>
      </c>
      <c r="H52" s="1">
        <v>420230000</v>
      </c>
      <c r="I52" s="1">
        <v>6165062000</v>
      </c>
      <c r="J52" s="1">
        <v>6078000000</v>
      </c>
    </row>
    <row r="53" spans="1:10" ht="19">
      <c r="A53" s="5" t="s">
        <v>45</v>
      </c>
      <c r="B53" s="1" t="s">
        <v>92</v>
      </c>
      <c r="C53" s="1" t="s">
        <v>92</v>
      </c>
      <c r="D53" s="1" t="s">
        <v>92</v>
      </c>
      <c r="E53" s="1" t="s">
        <v>92</v>
      </c>
      <c r="F53" s="1" t="s">
        <v>92</v>
      </c>
      <c r="G53" s="1" t="s">
        <v>92</v>
      </c>
      <c r="H53" s="1" t="s">
        <v>92</v>
      </c>
      <c r="I53" s="1" t="s">
        <v>92</v>
      </c>
      <c r="J53" s="1" t="s">
        <v>92</v>
      </c>
    </row>
    <row r="54" spans="1:10" ht="20" thickBot="1">
      <c r="A54" s="7" t="s">
        <v>46</v>
      </c>
      <c r="B54" s="11">
        <v>97050000</v>
      </c>
      <c r="C54" s="11">
        <v>149763000</v>
      </c>
      <c r="D54" s="11">
        <v>130635000</v>
      </c>
      <c r="E54" s="11">
        <v>367397000</v>
      </c>
      <c r="F54" s="11">
        <v>864334000</v>
      </c>
      <c r="G54" s="11">
        <v>1955395000</v>
      </c>
      <c r="H54" s="11">
        <v>3298797000</v>
      </c>
      <c r="I54" s="11">
        <v>9205695000</v>
      </c>
      <c r="J54" s="11">
        <v>9307000000</v>
      </c>
    </row>
    <row r="55" spans="1:10" ht="20" thickTop="1">
      <c r="A55" s="5" t="s">
        <v>47</v>
      </c>
      <c r="B55" s="1">
        <v>4228000</v>
      </c>
      <c r="C55" s="1">
        <v>5874000</v>
      </c>
      <c r="D55" s="1">
        <v>11897000</v>
      </c>
      <c r="E55" s="1">
        <v>9566000</v>
      </c>
      <c r="F55" s="1">
        <v>17212000</v>
      </c>
      <c r="G55" s="1">
        <v>3837000</v>
      </c>
      <c r="H55" s="1">
        <v>8557000</v>
      </c>
      <c r="I55" s="1">
        <v>20203000</v>
      </c>
      <c r="J55" s="1">
        <v>12000000</v>
      </c>
    </row>
    <row r="56" spans="1:10" ht="19">
      <c r="A56" s="5" t="s">
        <v>48</v>
      </c>
      <c r="B56" s="1" t="s">
        <v>92</v>
      </c>
      <c r="C56" s="1" t="s">
        <v>92</v>
      </c>
      <c r="D56" s="1" t="s">
        <v>92</v>
      </c>
      <c r="E56" s="1" t="s">
        <v>92</v>
      </c>
      <c r="F56" s="1">
        <v>271628000</v>
      </c>
      <c r="G56" s="1">
        <v>100703000</v>
      </c>
      <c r="H56" s="1">
        <v>932087000</v>
      </c>
      <c r="I56" s="1">
        <v>42714000</v>
      </c>
      <c r="J56" s="1">
        <v>0</v>
      </c>
    </row>
    <row r="57" spans="1:10" ht="19">
      <c r="A57" s="5" t="s">
        <v>49</v>
      </c>
      <c r="B57" s="1" t="s">
        <v>92</v>
      </c>
      <c r="C57" s="1" t="s">
        <v>92</v>
      </c>
      <c r="D57" s="1" t="s">
        <v>92</v>
      </c>
      <c r="E57" s="1" t="s">
        <v>92</v>
      </c>
      <c r="F57" s="1" t="s">
        <v>92</v>
      </c>
      <c r="G57" s="1" t="s">
        <v>92</v>
      </c>
      <c r="H57" s="1">
        <v>2462000</v>
      </c>
      <c r="I57" s="1">
        <v>7423000</v>
      </c>
      <c r="J57" s="1" t="s">
        <v>92</v>
      </c>
    </row>
    <row r="58" spans="1:10" ht="19">
      <c r="A58" s="5" t="s">
        <v>50</v>
      </c>
      <c r="B58" s="1">
        <v>38497000</v>
      </c>
      <c r="C58" s="1">
        <v>67818000</v>
      </c>
      <c r="D58" s="1">
        <v>108012000</v>
      </c>
      <c r="E58" s="1">
        <v>162633000</v>
      </c>
      <c r="F58" s="1">
        <v>245622000</v>
      </c>
      <c r="G58" s="1">
        <v>365236000</v>
      </c>
      <c r="H58" s="1">
        <v>502738000</v>
      </c>
      <c r="I58" s="1">
        <v>973289000</v>
      </c>
      <c r="J58" s="1">
        <v>1242000000</v>
      </c>
    </row>
    <row r="59" spans="1:10" ht="19">
      <c r="A59" s="5" t="s">
        <v>51</v>
      </c>
      <c r="B59" s="1">
        <v>7761000</v>
      </c>
      <c r="C59" s="1">
        <v>13448000</v>
      </c>
      <c r="D59" s="1">
        <v>15415000</v>
      </c>
      <c r="E59" s="1">
        <v>18561000</v>
      </c>
      <c r="F59" s="1">
        <v>29729000</v>
      </c>
      <c r="G59" s="1">
        <v>77187000</v>
      </c>
      <c r="H59" s="1">
        <v>99770000</v>
      </c>
      <c r="I59" s="1">
        <v>199177000</v>
      </c>
      <c r="J59" s="1">
        <v>211000000</v>
      </c>
    </row>
    <row r="60" spans="1:10" ht="19">
      <c r="A60" s="6" t="s">
        <v>52</v>
      </c>
      <c r="B60" s="10">
        <v>50486000</v>
      </c>
      <c r="C60" s="10">
        <v>87140000</v>
      </c>
      <c r="D60" s="10">
        <v>135324000</v>
      </c>
      <c r="E60" s="10">
        <v>190760000</v>
      </c>
      <c r="F60" s="10">
        <v>564191000</v>
      </c>
      <c r="G60" s="10">
        <v>546963000</v>
      </c>
      <c r="H60" s="10">
        <v>1545614000</v>
      </c>
      <c r="I60" s="10">
        <v>1242806000</v>
      </c>
      <c r="J60" s="10">
        <v>1465000000</v>
      </c>
    </row>
    <row r="61" spans="1:10" ht="19">
      <c r="A61" s="5" t="s">
        <v>53</v>
      </c>
      <c r="B61" s="1" t="s">
        <v>92</v>
      </c>
      <c r="C61" s="1" t="s">
        <v>92</v>
      </c>
      <c r="D61" s="1" t="s">
        <v>92</v>
      </c>
      <c r="E61" s="1" t="s">
        <v>92</v>
      </c>
      <c r="F61" s="1" t="s">
        <v>92</v>
      </c>
      <c r="G61" s="1">
        <v>837002000</v>
      </c>
      <c r="H61" s="1">
        <v>1036905000</v>
      </c>
      <c r="I61" s="1">
        <v>1986325000</v>
      </c>
      <c r="J61" s="1">
        <v>2335000000</v>
      </c>
    </row>
    <row r="62" spans="1:10" ht="19">
      <c r="A62" s="5" t="s">
        <v>50</v>
      </c>
      <c r="B62" s="1">
        <v>8912000</v>
      </c>
      <c r="C62" s="1">
        <v>11707000</v>
      </c>
      <c r="D62" s="1">
        <v>5711000</v>
      </c>
      <c r="E62" s="1">
        <v>6034000</v>
      </c>
      <c r="F62" s="1">
        <v>8768000</v>
      </c>
      <c r="G62" s="1">
        <v>6214000</v>
      </c>
      <c r="H62" s="1">
        <v>10860000</v>
      </c>
      <c r="I62" s="1">
        <v>22933000</v>
      </c>
      <c r="J62" s="1">
        <v>18000000</v>
      </c>
    </row>
    <row r="63" spans="1:10" ht="19">
      <c r="A63" s="5" t="s">
        <v>54</v>
      </c>
      <c r="B63" s="1">
        <v>65000</v>
      </c>
      <c r="C63" s="1">
        <v>131000</v>
      </c>
      <c r="D63" s="1">
        <v>200000</v>
      </c>
      <c r="E63" s="1">
        <v>175000</v>
      </c>
      <c r="F63" s="1">
        <v>727000</v>
      </c>
      <c r="G63" s="1">
        <v>1558000</v>
      </c>
      <c r="H63" s="1">
        <v>3877000</v>
      </c>
      <c r="I63" s="1">
        <v>9416000</v>
      </c>
      <c r="J63" s="1" t="s">
        <v>92</v>
      </c>
    </row>
    <row r="64" spans="1:10" ht="19">
      <c r="A64" s="5" t="s">
        <v>55</v>
      </c>
      <c r="B64" s="1">
        <v>154785000</v>
      </c>
      <c r="C64" s="1">
        <v>231847000</v>
      </c>
      <c r="D64" s="1">
        <v>4747000</v>
      </c>
      <c r="E64" s="1">
        <v>6842000</v>
      </c>
      <c r="F64" s="1">
        <v>38272000</v>
      </c>
      <c r="G64" s="1">
        <v>158314000</v>
      </c>
      <c r="H64" s="1">
        <v>7498000</v>
      </c>
      <c r="I64" s="1">
        <v>22359000</v>
      </c>
      <c r="J64" s="1">
        <v>23000000</v>
      </c>
    </row>
    <row r="65" spans="1:18" ht="19">
      <c r="A65" s="5" t="s">
        <v>56</v>
      </c>
      <c r="B65" s="1">
        <v>163762000</v>
      </c>
      <c r="C65" s="1">
        <v>243685000</v>
      </c>
      <c r="D65" s="1">
        <v>10658000</v>
      </c>
      <c r="E65" s="1">
        <v>13051000</v>
      </c>
      <c r="F65" s="1">
        <v>47767000</v>
      </c>
      <c r="G65" s="1">
        <v>1003088000</v>
      </c>
      <c r="H65" s="1">
        <v>1059140000</v>
      </c>
      <c r="I65" s="1">
        <v>2041033000</v>
      </c>
      <c r="J65" s="1">
        <v>2376000000</v>
      </c>
    </row>
    <row r="66" spans="1:18" ht="19">
      <c r="A66" s="5" t="s">
        <v>57</v>
      </c>
      <c r="B66" s="1" t="s">
        <v>92</v>
      </c>
      <c r="C66" s="1" t="s">
        <v>92</v>
      </c>
      <c r="D66" s="1" t="s">
        <v>92</v>
      </c>
      <c r="E66" s="1" t="s">
        <v>92</v>
      </c>
      <c r="F66" s="1" t="s">
        <v>92</v>
      </c>
      <c r="G66" s="1" t="s">
        <v>92</v>
      </c>
      <c r="H66" s="1" t="s">
        <v>92</v>
      </c>
      <c r="I66" s="1" t="s">
        <v>92</v>
      </c>
      <c r="J66" s="1" t="s">
        <v>92</v>
      </c>
    </row>
    <row r="67" spans="1:18" ht="19">
      <c r="A67" s="6" t="s">
        <v>58</v>
      </c>
      <c r="B67" s="10">
        <v>214248000</v>
      </c>
      <c r="C67" s="10">
        <v>330825000</v>
      </c>
      <c r="D67" s="10">
        <v>145982000</v>
      </c>
      <c r="E67" s="10">
        <v>203811000</v>
      </c>
      <c r="F67" s="10">
        <v>611958000</v>
      </c>
      <c r="G67" s="10">
        <v>1550051000</v>
      </c>
      <c r="H67" s="10">
        <v>2604754000</v>
      </c>
      <c r="I67" s="10">
        <v>3283839000</v>
      </c>
      <c r="J67" s="10">
        <v>3841000000</v>
      </c>
    </row>
    <row r="68" spans="1:18" ht="19">
      <c r="A68" s="5" t="s">
        <v>59</v>
      </c>
      <c r="B68" s="1">
        <v>2000</v>
      </c>
      <c r="C68" s="1">
        <v>2000</v>
      </c>
      <c r="D68" s="1">
        <v>8000</v>
      </c>
      <c r="E68" s="1">
        <v>10000</v>
      </c>
      <c r="F68" s="1">
        <v>11000</v>
      </c>
      <c r="G68" s="1">
        <v>12000</v>
      </c>
      <c r="H68" s="1">
        <v>13000</v>
      </c>
      <c r="I68" s="1">
        <v>16000</v>
      </c>
      <c r="J68" s="1" t="s">
        <v>92</v>
      </c>
    </row>
    <row r="69" spans="1:18" ht="19">
      <c r="A69" s="5" t="s">
        <v>60</v>
      </c>
      <c r="B69" s="1">
        <v>-128098000</v>
      </c>
      <c r="C69" s="1">
        <v>-204400000</v>
      </c>
      <c r="D69" s="1">
        <v>-287909000</v>
      </c>
      <c r="E69" s="1">
        <v>-402468000</v>
      </c>
      <c r="F69" s="1">
        <v>-492211000</v>
      </c>
      <c r="G69" s="1">
        <v>-701124000</v>
      </c>
      <c r="H69" s="1">
        <v>-967456000</v>
      </c>
      <c r="I69" s="1">
        <v>-1815867000</v>
      </c>
      <c r="J69" s="1">
        <v>-2475000000</v>
      </c>
    </row>
    <row r="70" spans="1:18" ht="19">
      <c r="A70" s="5" t="s">
        <v>61</v>
      </c>
      <c r="B70" s="1">
        <v>-1061000</v>
      </c>
      <c r="C70" s="1">
        <v>-2141000</v>
      </c>
      <c r="D70" s="1">
        <v>-4106000</v>
      </c>
      <c r="E70" s="1">
        <v>-8115000</v>
      </c>
      <c r="F70" s="1">
        <v>-9642000</v>
      </c>
      <c r="G70" s="1">
        <v>1000000</v>
      </c>
      <c r="H70" s="1">
        <v>5390000</v>
      </c>
      <c r="I70" s="1">
        <v>-12009000</v>
      </c>
      <c r="J70" s="1">
        <v>-33000000</v>
      </c>
    </row>
    <row r="71" spans="1:18" ht="19">
      <c r="A71" s="5" t="s">
        <v>62</v>
      </c>
      <c r="B71" s="1">
        <v>11959000</v>
      </c>
      <c r="C71" s="1">
        <v>25477000</v>
      </c>
      <c r="D71" s="1">
        <v>276660000</v>
      </c>
      <c r="E71" s="1">
        <v>574159000</v>
      </c>
      <c r="F71" s="1">
        <v>754219000</v>
      </c>
      <c r="G71" s="1">
        <v>1105456000</v>
      </c>
      <c r="H71" s="1">
        <v>1656096000</v>
      </c>
      <c r="I71" s="1">
        <v>7749716000</v>
      </c>
      <c r="J71" s="1">
        <v>7974000000</v>
      </c>
    </row>
    <row r="72" spans="1:18" ht="19">
      <c r="A72" s="6" t="s">
        <v>63</v>
      </c>
      <c r="B72" s="10">
        <v>-117198000</v>
      </c>
      <c r="C72" s="10">
        <v>-181062000</v>
      </c>
      <c r="D72" s="10">
        <v>-15347000</v>
      </c>
      <c r="E72" s="10">
        <v>163586000</v>
      </c>
      <c r="F72" s="10">
        <v>252377000</v>
      </c>
      <c r="G72" s="10">
        <v>405344000</v>
      </c>
      <c r="H72" s="10">
        <v>694043000</v>
      </c>
      <c r="I72" s="10">
        <v>5921856000</v>
      </c>
      <c r="J72" s="10">
        <v>5466000000</v>
      </c>
    </row>
    <row r="73" spans="1:18" ht="20" thickBot="1">
      <c r="A73" s="7" t="s">
        <v>64</v>
      </c>
      <c r="B73" s="11">
        <v>97050000</v>
      </c>
      <c r="C73" s="11">
        <v>149763000</v>
      </c>
      <c r="D73" s="11">
        <v>130635000</v>
      </c>
      <c r="E73" s="11">
        <v>367397000</v>
      </c>
      <c r="F73" s="11">
        <v>864335000</v>
      </c>
      <c r="G73" s="11">
        <v>1955395000</v>
      </c>
      <c r="H73" s="11">
        <v>3298797000</v>
      </c>
      <c r="I73" s="11">
        <v>9205695000</v>
      </c>
      <c r="J73" s="11">
        <v>9307000000</v>
      </c>
    </row>
    <row r="74" spans="1:18" ht="20" thickTop="1">
      <c r="A74" s="5" t="s">
        <v>28</v>
      </c>
      <c r="B74" s="13" t="s">
        <v>93</v>
      </c>
      <c r="C74" s="13" t="s">
        <v>93</v>
      </c>
      <c r="D74" s="13" t="s">
        <v>93</v>
      </c>
      <c r="E74" s="13" t="s">
        <v>93</v>
      </c>
      <c r="F74" s="13" t="s">
        <v>93</v>
      </c>
      <c r="G74" s="13" t="s">
        <v>93</v>
      </c>
      <c r="H74" s="13" t="s">
        <v>93</v>
      </c>
      <c r="I74" s="13" t="s">
        <v>93</v>
      </c>
      <c r="J74" s="13" t="s">
        <v>93</v>
      </c>
    </row>
    <row r="75" spans="1:18" ht="21">
      <c r="A75" s="4" t="s">
        <v>65</v>
      </c>
      <c r="B75" s="9" t="s">
        <v>91</v>
      </c>
      <c r="C75" s="9" t="s">
        <v>91</v>
      </c>
      <c r="D75" s="9" t="s">
        <v>91</v>
      </c>
      <c r="E75" s="9" t="s">
        <v>91</v>
      </c>
      <c r="F75" s="9" t="s">
        <v>91</v>
      </c>
      <c r="G75" s="9" t="s">
        <v>91</v>
      </c>
      <c r="H75" s="9" t="s">
        <v>91</v>
      </c>
      <c r="I75" s="9" t="s">
        <v>91</v>
      </c>
      <c r="J75" s="9" t="s">
        <v>91</v>
      </c>
    </row>
    <row r="76" spans="1:18" ht="19">
      <c r="A76" s="5" t="s">
        <v>66</v>
      </c>
      <c r="B76" s="1">
        <v>-59111000</v>
      </c>
      <c r="C76" s="1">
        <v>-76302000</v>
      </c>
      <c r="D76" s="1">
        <v>-83509000</v>
      </c>
      <c r="E76" s="1">
        <v>-114359000</v>
      </c>
      <c r="F76" s="1">
        <v>-125497000</v>
      </c>
      <c r="G76" s="1">
        <v>-208913000</v>
      </c>
      <c r="H76" s="1">
        <v>-266332000</v>
      </c>
      <c r="I76" s="1">
        <v>-848411000</v>
      </c>
      <c r="J76" s="1">
        <v>-815000000</v>
      </c>
    </row>
    <row r="77" spans="1:18" ht="19">
      <c r="A77" s="5" t="s">
        <v>13</v>
      </c>
      <c r="B77" s="1">
        <v>1923000</v>
      </c>
      <c r="C77" s="1">
        <v>2889000</v>
      </c>
      <c r="D77" s="1">
        <v>4568000</v>
      </c>
      <c r="E77" s="1">
        <v>7001000</v>
      </c>
      <c r="F77" s="1">
        <v>8001000</v>
      </c>
      <c r="G77" s="1">
        <v>17815000</v>
      </c>
      <c r="H77" s="1">
        <v>36865000</v>
      </c>
      <c r="I77" s="1">
        <v>107612000</v>
      </c>
      <c r="J77" s="1">
        <v>114000000</v>
      </c>
    </row>
    <row r="78" spans="1:18" ht="19">
      <c r="A78" s="5" t="s">
        <v>67</v>
      </c>
      <c r="B78" s="1" t="s">
        <v>92</v>
      </c>
      <c r="C78" s="1" t="s">
        <v>92</v>
      </c>
      <c r="D78" s="1" t="s">
        <v>92</v>
      </c>
      <c r="E78" s="1">
        <v>-534000</v>
      </c>
      <c r="F78" s="1">
        <v>-765000</v>
      </c>
      <c r="G78" s="1">
        <v>-2253000</v>
      </c>
      <c r="H78" s="1">
        <v>-1182000</v>
      </c>
      <c r="I78" s="1">
        <v>-6157000</v>
      </c>
      <c r="J78" s="1">
        <v>7000000</v>
      </c>
    </row>
    <row r="79" spans="1:18" ht="19">
      <c r="A79" s="5" t="s">
        <v>68</v>
      </c>
      <c r="B79" s="1">
        <v>6580000</v>
      </c>
      <c r="C79" s="1">
        <v>9832000</v>
      </c>
      <c r="D79" s="1">
        <v>17127000</v>
      </c>
      <c r="E79" s="1">
        <v>49860000</v>
      </c>
      <c r="F79" s="1">
        <v>76320000</v>
      </c>
      <c r="G79" s="1">
        <v>126624000</v>
      </c>
      <c r="H79" s="1">
        <v>196181000</v>
      </c>
      <c r="I79" s="1">
        <v>565480000</v>
      </c>
      <c r="J79" s="1">
        <v>677000000</v>
      </c>
    </row>
    <row r="80" spans="1:18" ht="19">
      <c r="A80" s="14" t="s">
        <v>104</v>
      </c>
      <c r="B80" s="15">
        <f t="shared" ref="B80:J80" si="17">B79/B3</f>
        <v>0.16044867105584004</v>
      </c>
      <c r="C80" s="15">
        <f t="shared" si="17"/>
        <v>0.11444934638620834</v>
      </c>
      <c r="D80" s="15">
        <f t="shared" si="17"/>
        <v>0.10682609183788032</v>
      </c>
      <c r="E80" s="15">
        <f t="shared" si="17"/>
        <v>0.19177660679256894</v>
      </c>
      <c r="F80" s="15">
        <f t="shared" si="17"/>
        <v>0.19115650688534117</v>
      </c>
      <c r="G80" s="15">
        <f t="shared" si="17"/>
        <v>0.216057208476164</v>
      </c>
      <c r="H80" s="15">
        <f t="shared" si="17"/>
        <v>0.23482806335465584</v>
      </c>
      <c r="I80" s="15">
        <f t="shared" si="17"/>
        <v>0.43491737046810452</v>
      </c>
      <c r="J80" s="15">
        <f t="shared" si="17"/>
        <v>0.36437029063509152</v>
      </c>
      <c r="K80" s="15"/>
      <c r="L80" s="15"/>
      <c r="M80" s="15"/>
      <c r="N80" s="15"/>
      <c r="O80" s="15"/>
      <c r="P80" s="15"/>
      <c r="Q80" s="15"/>
      <c r="R80" s="15"/>
    </row>
    <row r="81" spans="1:18" ht="19">
      <c r="A81" s="5" t="s">
        <v>69</v>
      </c>
      <c r="B81" s="1">
        <v>14747000</v>
      </c>
      <c r="C81" s="1">
        <v>12673000</v>
      </c>
      <c r="D81" s="1">
        <v>5275000</v>
      </c>
      <c r="E81" s="1">
        <v>12667000</v>
      </c>
      <c r="F81" s="1">
        <v>20334000</v>
      </c>
      <c r="G81" s="1">
        <v>51543000</v>
      </c>
      <c r="H81" s="1">
        <v>37253000</v>
      </c>
      <c r="I81" s="1">
        <v>141098000</v>
      </c>
      <c r="J81" s="1">
        <v>103000000</v>
      </c>
    </row>
    <row r="82" spans="1:18" ht="19">
      <c r="A82" s="5" t="s">
        <v>70</v>
      </c>
      <c r="B82" s="1">
        <v>-7228000</v>
      </c>
      <c r="C82" s="1">
        <v>-10668000</v>
      </c>
      <c r="D82" s="1">
        <v>-11993000</v>
      </c>
      <c r="E82" s="1">
        <v>-18321000</v>
      </c>
      <c r="F82" s="1">
        <v>-39682000</v>
      </c>
      <c r="G82" s="1">
        <v>-37515000</v>
      </c>
      <c r="H82" s="1">
        <v>-66373000</v>
      </c>
      <c r="I82" s="1">
        <v>-174817000</v>
      </c>
      <c r="J82" s="1">
        <v>-87000000</v>
      </c>
    </row>
    <row r="83" spans="1:18" ht="21">
      <c r="A83" s="5" t="s">
        <v>34</v>
      </c>
      <c r="B83" s="1" t="s">
        <v>92</v>
      </c>
      <c r="C83" s="1" t="s">
        <v>92</v>
      </c>
      <c r="D83" s="1" t="s">
        <v>92</v>
      </c>
      <c r="E83" s="1" t="s">
        <v>92</v>
      </c>
      <c r="F83" s="1" t="s">
        <v>92</v>
      </c>
      <c r="G83" s="1" t="s">
        <v>92</v>
      </c>
      <c r="H83" s="1" t="s">
        <v>92</v>
      </c>
      <c r="I83" s="1" t="s">
        <v>92</v>
      </c>
      <c r="J83" s="1" t="s">
        <v>92</v>
      </c>
      <c r="Q83" s="72" t="s">
        <v>126</v>
      </c>
      <c r="R83" s="73"/>
    </row>
    <row r="84" spans="1:18" ht="19" customHeight="1">
      <c r="A84" s="5" t="s">
        <v>47</v>
      </c>
      <c r="B84" s="1">
        <v>2781000</v>
      </c>
      <c r="C84" s="1">
        <v>962000</v>
      </c>
      <c r="D84" s="1">
        <v>3322000</v>
      </c>
      <c r="E84" s="1">
        <v>3505000</v>
      </c>
      <c r="F84" s="1">
        <v>675000</v>
      </c>
      <c r="G84" s="1">
        <v>1689000</v>
      </c>
      <c r="H84" s="1">
        <v>4081000</v>
      </c>
      <c r="I84" s="1">
        <v>6764000</v>
      </c>
      <c r="J84" s="1">
        <v>-6000000</v>
      </c>
      <c r="Q84" s="68" t="s">
        <v>127</v>
      </c>
      <c r="R84" s="69"/>
    </row>
    <row r="85" spans="1:18" ht="20">
      <c r="A85" s="5" t="s">
        <v>71</v>
      </c>
      <c r="B85" s="1">
        <v>20322000</v>
      </c>
      <c r="C85" s="1">
        <v>19291000</v>
      </c>
      <c r="D85" s="1">
        <v>15786000</v>
      </c>
      <c r="E85" s="1">
        <v>37090000</v>
      </c>
      <c r="F85" s="1">
        <v>55390000</v>
      </c>
      <c r="G85" s="1">
        <v>78242000</v>
      </c>
      <c r="H85" s="1">
        <v>105289000</v>
      </c>
      <c r="I85" s="1">
        <v>296117000</v>
      </c>
      <c r="J85" s="1" t="s">
        <v>92</v>
      </c>
      <c r="Q85" s="24" t="s">
        <v>128</v>
      </c>
      <c r="R85" s="25">
        <f>J17</f>
        <v>11000000</v>
      </c>
    </row>
    <row r="86" spans="1:18" ht="20">
      <c r="A86" s="5" t="s">
        <v>72</v>
      </c>
      <c r="B86" s="1">
        <v>3112000</v>
      </c>
      <c r="C86" s="1">
        <v>9372000</v>
      </c>
      <c r="D86" s="1">
        <v>14438000</v>
      </c>
      <c r="E86" s="1">
        <v>20125000</v>
      </c>
      <c r="F86" s="1">
        <v>36779000</v>
      </c>
      <c r="G86" s="1">
        <v>70787000</v>
      </c>
      <c r="H86" s="1">
        <v>125177000</v>
      </c>
      <c r="I86" s="1">
        <v>144497000</v>
      </c>
      <c r="J86" s="1" t="s">
        <v>92</v>
      </c>
      <c r="Q86" s="24" t="s">
        <v>129</v>
      </c>
      <c r="R86" s="25">
        <f>J56</f>
        <v>0</v>
      </c>
    </row>
    <row r="87" spans="1:18" ht="20">
      <c r="A87" s="6" t="s">
        <v>73</v>
      </c>
      <c r="B87" s="10">
        <v>-32749000</v>
      </c>
      <c r="C87" s="10">
        <v>-41536000</v>
      </c>
      <c r="D87" s="10">
        <v>-42101000</v>
      </c>
      <c r="E87" s="10">
        <v>-25240000</v>
      </c>
      <c r="F87" s="10">
        <v>15172000</v>
      </c>
      <c r="G87" s="10">
        <v>55603000</v>
      </c>
      <c r="H87" s="10">
        <v>127962000</v>
      </c>
      <c r="I87" s="10">
        <v>104119000</v>
      </c>
      <c r="J87" s="10">
        <v>86000000</v>
      </c>
      <c r="Q87" s="24" t="s">
        <v>130</v>
      </c>
      <c r="R87" s="25">
        <f>J61</f>
        <v>2335000000</v>
      </c>
    </row>
    <row r="88" spans="1:18" ht="20">
      <c r="A88" s="5" t="s">
        <v>74</v>
      </c>
      <c r="B88" s="1">
        <v>-1182000</v>
      </c>
      <c r="C88" s="1">
        <v>-4093000</v>
      </c>
      <c r="D88" s="1">
        <v>-6253000</v>
      </c>
      <c r="E88" s="1">
        <v>-6550000</v>
      </c>
      <c r="F88" s="1">
        <v>-19811000</v>
      </c>
      <c r="G88" s="1">
        <v>-15442000</v>
      </c>
      <c r="H88" s="1">
        <v>-13083000</v>
      </c>
      <c r="I88" s="1">
        <v>-12310000</v>
      </c>
      <c r="J88" s="1">
        <v>-12000000</v>
      </c>
      <c r="Q88" s="35" t="s">
        <v>131</v>
      </c>
      <c r="R88" s="36">
        <f>R85/(R86+R87)</f>
        <v>4.7109207708779443E-3</v>
      </c>
    </row>
    <row r="89" spans="1:18" ht="20" customHeight="1">
      <c r="A89" s="14" t="s">
        <v>105</v>
      </c>
      <c r="B89" s="15">
        <f t="shared" ref="B89:J89" si="18">(-1*B88)/B3</f>
        <v>2.8822238478419897E-2</v>
      </c>
      <c r="C89" s="15">
        <f t="shared" si="18"/>
        <v>4.7644545846089376E-2</v>
      </c>
      <c r="D89" s="15">
        <f t="shared" si="18"/>
        <v>3.9001783865374298E-2</v>
      </c>
      <c r="E89" s="15">
        <f t="shared" si="18"/>
        <v>2.5193276664487094E-2</v>
      </c>
      <c r="F89" s="15">
        <f t="shared" si="18"/>
        <v>4.9620041377168418E-2</v>
      </c>
      <c r="G89" s="15">
        <f t="shared" si="18"/>
        <v>2.6348523291705554E-2</v>
      </c>
      <c r="H89" s="15">
        <f t="shared" si="18"/>
        <v>1.5660311410732753E-2</v>
      </c>
      <c r="I89" s="15">
        <f t="shared" si="18"/>
        <v>9.4677669068090244E-3</v>
      </c>
      <c r="J89" s="15">
        <f t="shared" si="18"/>
        <v>6.4585575888051671E-3</v>
      </c>
      <c r="Q89" s="24" t="s">
        <v>106</v>
      </c>
      <c r="R89" s="25">
        <f>J27</f>
        <v>14000000</v>
      </c>
    </row>
    <row r="90" spans="1:18" ht="20">
      <c r="A90" s="5" t="s">
        <v>75</v>
      </c>
      <c r="B90" s="1">
        <v>-3200000</v>
      </c>
      <c r="C90" s="1" t="s">
        <v>92</v>
      </c>
      <c r="D90" s="1" t="s">
        <v>92</v>
      </c>
      <c r="E90" s="1" t="s">
        <v>92</v>
      </c>
      <c r="F90" s="1">
        <v>-15632000</v>
      </c>
      <c r="G90" s="1">
        <v>-44283000</v>
      </c>
      <c r="H90" s="1" t="s">
        <v>92</v>
      </c>
      <c r="I90" s="1">
        <v>-215175000</v>
      </c>
      <c r="J90" s="1">
        <v>-4000000</v>
      </c>
      <c r="Q90" s="24" t="s">
        <v>19</v>
      </c>
      <c r="R90" s="25">
        <f>J25</f>
        <v>-801000000</v>
      </c>
    </row>
    <row r="91" spans="1:18" ht="20">
      <c r="A91" s="5" t="s">
        <v>76</v>
      </c>
      <c r="B91" s="1">
        <v>-44526000</v>
      </c>
      <c r="C91" s="1">
        <v>-46360000</v>
      </c>
      <c r="D91" s="1" t="s">
        <v>92</v>
      </c>
      <c r="E91" s="1">
        <v>-129086000</v>
      </c>
      <c r="F91" s="1">
        <v>-631488000</v>
      </c>
      <c r="G91" s="1">
        <v>-999387000</v>
      </c>
      <c r="H91" s="1">
        <v>-2029030000</v>
      </c>
      <c r="I91" s="1">
        <v>-1846709000</v>
      </c>
      <c r="J91" s="1">
        <v>-1411000000</v>
      </c>
      <c r="Q91" s="35" t="s">
        <v>132</v>
      </c>
      <c r="R91" s="36">
        <f>R89/R90</f>
        <v>-1.7478152309612985E-2</v>
      </c>
    </row>
    <row r="92" spans="1:18" ht="20">
      <c r="A92" s="5" t="s">
        <v>77</v>
      </c>
      <c r="B92" s="1">
        <v>2100000</v>
      </c>
      <c r="C92" s="1">
        <v>54221000</v>
      </c>
      <c r="D92" s="1">
        <v>18707000</v>
      </c>
      <c r="E92" s="1">
        <v>41363000</v>
      </c>
      <c r="F92" s="1">
        <v>471722000</v>
      </c>
      <c r="G92" s="1">
        <v>383548000</v>
      </c>
      <c r="H92" s="1">
        <v>741252000</v>
      </c>
      <c r="I92" s="1">
        <v>1711831000</v>
      </c>
      <c r="J92" s="1">
        <v>1308000000</v>
      </c>
      <c r="Q92" s="37" t="s">
        <v>133</v>
      </c>
      <c r="R92" s="38">
        <f>R88*(1-R91)</f>
        <v>4.7932589616298685E-3</v>
      </c>
    </row>
    <row r="93" spans="1:18" ht="19" customHeight="1">
      <c r="A93" s="5" t="s">
        <v>78</v>
      </c>
      <c r="B93" s="1">
        <v>-1763000</v>
      </c>
      <c r="C93" s="1">
        <v>-2608000</v>
      </c>
      <c r="D93" s="1">
        <v>-5489000</v>
      </c>
      <c r="E93" s="1">
        <v>-5431000</v>
      </c>
      <c r="F93" s="1">
        <v>-2111000</v>
      </c>
      <c r="G93" s="1">
        <v>-12477000</v>
      </c>
      <c r="H93" s="1">
        <v>-4285000</v>
      </c>
      <c r="I93" s="1">
        <v>-4449000</v>
      </c>
      <c r="J93" s="1">
        <v>-11000000</v>
      </c>
      <c r="Q93" s="68" t="s">
        <v>134</v>
      </c>
      <c r="R93" s="69"/>
    </row>
    <row r="94" spans="1:18" ht="20">
      <c r="A94" s="6" t="s">
        <v>79</v>
      </c>
      <c r="B94" s="10">
        <v>-48571000</v>
      </c>
      <c r="C94" s="10">
        <v>1160000</v>
      </c>
      <c r="D94" s="10">
        <v>6965000</v>
      </c>
      <c r="E94" s="10">
        <v>-99704000</v>
      </c>
      <c r="F94" s="10">
        <v>-197320000</v>
      </c>
      <c r="G94" s="10">
        <v>-688041000</v>
      </c>
      <c r="H94" s="10">
        <v>-1305146000</v>
      </c>
      <c r="I94" s="10">
        <v>-366812000</v>
      </c>
      <c r="J94" s="10">
        <v>-130000000</v>
      </c>
      <c r="Q94" s="24" t="s">
        <v>135</v>
      </c>
      <c r="R94" s="39">
        <v>4.095E-2</v>
      </c>
    </row>
    <row r="95" spans="1:18" ht="20">
      <c r="A95" s="5" t="s">
        <v>80</v>
      </c>
      <c r="B95" s="1" t="s">
        <v>92</v>
      </c>
      <c r="C95" s="1">
        <v>-213000</v>
      </c>
      <c r="D95" s="1">
        <v>-396000</v>
      </c>
      <c r="E95" s="1" t="s">
        <v>92</v>
      </c>
      <c r="F95" s="1" t="s">
        <v>92</v>
      </c>
      <c r="G95" s="1">
        <v>-224414000</v>
      </c>
      <c r="H95" s="1">
        <v>-446000</v>
      </c>
      <c r="I95" s="1">
        <v>-26000</v>
      </c>
      <c r="J95" s="1" t="s">
        <v>92</v>
      </c>
      <c r="Q95" s="24" t="s">
        <v>136</v>
      </c>
      <c r="R95" s="40" cm="1">
        <f t="array" ref="R95">_FV(A1,"Beta")</f>
        <v>1.018</v>
      </c>
    </row>
    <row r="96" spans="1:18" ht="20">
      <c r="A96" s="5" t="s">
        <v>81</v>
      </c>
      <c r="B96" s="1" t="s">
        <v>92</v>
      </c>
      <c r="C96" s="1" t="s">
        <v>92</v>
      </c>
      <c r="D96" s="1" t="s">
        <v>92</v>
      </c>
      <c r="E96" s="1">
        <v>199948000</v>
      </c>
      <c r="F96" s="1" t="s">
        <v>92</v>
      </c>
      <c r="G96" s="1" t="s">
        <v>92</v>
      </c>
      <c r="H96" s="1" t="s">
        <v>92</v>
      </c>
      <c r="I96" s="1" t="s">
        <v>92</v>
      </c>
      <c r="J96" s="1" t="s">
        <v>92</v>
      </c>
      <c r="Q96" s="24" t="s">
        <v>137</v>
      </c>
      <c r="R96" s="39">
        <v>8.4000000000000005E-2</v>
      </c>
    </row>
    <row r="97" spans="1:19" ht="20">
      <c r="A97" s="5" t="s">
        <v>82</v>
      </c>
      <c r="B97" s="1" t="s">
        <v>92</v>
      </c>
      <c r="C97" s="1" t="s">
        <v>92</v>
      </c>
      <c r="D97" s="1" t="s">
        <v>92</v>
      </c>
      <c r="E97" s="1" t="s">
        <v>92</v>
      </c>
      <c r="F97" s="1" t="s">
        <v>92</v>
      </c>
      <c r="G97" s="1" t="s">
        <v>92</v>
      </c>
      <c r="H97" s="1" t="s">
        <v>92</v>
      </c>
      <c r="I97" s="1" t="s">
        <v>92</v>
      </c>
      <c r="J97" s="1" t="s">
        <v>92</v>
      </c>
      <c r="Q97" s="37" t="s">
        <v>138</v>
      </c>
      <c r="R97" s="38">
        <f>(R94)+((R95)*(R96-R94))</f>
        <v>8.4774900000000014E-2</v>
      </c>
    </row>
    <row r="98" spans="1:19" ht="19" customHeight="1">
      <c r="A98" s="5" t="s">
        <v>83</v>
      </c>
      <c r="B98" s="1" t="s">
        <v>92</v>
      </c>
      <c r="C98" s="1" t="s">
        <v>92</v>
      </c>
      <c r="D98" s="1" t="s">
        <v>92</v>
      </c>
      <c r="E98" s="1" t="s">
        <v>92</v>
      </c>
      <c r="F98" s="1" t="s">
        <v>92</v>
      </c>
      <c r="G98" s="1" t="s">
        <v>92</v>
      </c>
      <c r="H98" s="1" t="s">
        <v>92</v>
      </c>
      <c r="I98" s="1" t="s">
        <v>92</v>
      </c>
      <c r="J98" s="1" t="s">
        <v>92</v>
      </c>
      <c r="Q98" s="68" t="s">
        <v>139</v>
      </c>
      <c r="R98" s="69"/>
    </row>
    <row r="99" spans="1:19" ht="20">
      <c r="A99" s="5" t="s">
        <v>84</v>
      </c>
      <c r="B99" s="1">
        <v>77313000</v>
      </c>
      <c r="C99" s="1">
        <v>77054000</v>
      </c>
      <c r="D99" s="1">
        <v>853000</v>
      </c>
      <c r="E99" s="1">
        <v>37460000</v>
      </c>
      <c r="F99" s="1">
        <v>357762000</v>
      </c>
      <c r="G99" s="1">
        <v>1077799000</v>
      </c>
      <c r="H99" s="1">
        <v>1092044000</v>
      </c>
      <c r="I99" s="1">
        <v>89092000</v>
      </c>
      <c r="J99" s="1">
        <v>48000000</v>
      </c>
      <c r="Q99" s="24" t="s">
        <v>140</v>
      </c>
      <c r="R99" s="25">
        <f>R86+R87</f>
        <v>2335000000</v>
      </c>
    </row>
    <row r="100" spans="1:19" ht="20">
      <c r="A100" s="6" t="s">
        <v>85</v>
      </c>
      <c r="B100" s="10">
        <v>77313000</v>
      </c>
      <c r="C100" s="10">
        <v>76841000</v>
      </c>
      <c r="D100" s="10">
        <v>457000</v>
      </c>
      <c r="E100" s="10">
        <v>237408000</v>
      </c>
      <c r="F100" s="10">
        <v>357762000</v>
      </c>
      <c r="G100" s="10">
        <v>853385000</v>
      </c>
      <c r="H100" s="10">
        <v>1091598000</v>
      </c>
      <c r="I100" s="10">
        <v>89066000</v>
      </c>
      <c r="J100" s="10">
        <v>48000000</v>
      </c>
      <c r="Q100" s="35" t="s">
        <v>141</v>
      </c>
      <c r="R100" s="36">
        <f>R99/R103</f>
        <v>0.17345712303347166</v>
      </c>
    </row>
    <row r="101" spans="1:19" ht="20">
      <c r="A101" s="5" t="s">
        <v>86</v>
      </c>
      <c r="B101" s="1">
        <v>-7000</v>
      </c>
      <c r="C101" s="1">
        <v>-42000</v>
      </c>
      <c r="D101" s="1">
        <v>-120000</v>
      </c>
      <c r="E101" s="1">
        <v>487000</v>
      </c>
      <c r="F101" s="1">
        <v>-632000</v>
      </c>
      <c r="G101" s="1">
        <v>-209000</v>
      </c>
      <c r="H101" s="1">
        <v>2263000</v>
      </c>
      <c r="I101" s="1">
        <v>-2347000</v>
      </c>
      <c r="J101" s="1">
        <v>-6000000</v>
      </c>
      <c r="Q101" s="24" t="s">
        <v>142</v>
      </c>
      <c r="R101" s="41" cm="1">
        <f t="array" ref="R101">_FV(A1,"Market cap",TRUE)</f>
        <v>11126540000</v>
      </c>
    </row>
    <row r="102" spans="1:19" ht="20">
      <c r="A102" s="6" t="s">
        <v>87</v>
      </c>
      <c r="B102" s="10">
        <v>-4014000</v>
      </c>
      <c r="C102" s="10">
        <v>36423000</v>
      </c>
      <c r="D102" s="10">
        <v>-34799000</v>
      </c>
      <c r="E102" s="10">
        <v>112951000</v>
      </c>
      <c r="F102" s="10">
        <v>174982000</v>
      </c>
      <c r="G102" s="10">
        <v>220738000</v>
      </c>
      <c r="H102" s="10">
        <v>-83323000</v>
      </c>
      <c r="I102" s="10">
        <v>-175974000</v>
      </c>
      <c r="J102" s="10">
        <v>-1656000</v>
      </c>
      <c r="Q102" s="35" t="s">
        <v>143</v>
      </c>
      <c r="R102" s="36">
        <f>R101/R103</f>
        <v>0.82654287696652839</v>
      </c>
    </row>
    <row r="103" spans="1:19" ht="20">
      <c r="A103" s="5" t="s">
        <v>88</v>
      </c>
      <c r="B103" s="1">
        <v>25672000</v>
      </c>
      <c r="C103" s="1">
        <v>21658000</v>
      </c>
      <c r="D103" s="1">
        <v>58081000</v>
      </c>
      <c r="E103" s="1">
        <v>23282000</v>
      </c>
      <c r="F103" s="1">
        <v>136233000</v>
      </c>
      <c r="G103" s="1">
        <v>311215000</v>
      </c>
      <c r="H103" s="1">
        <v>531953000</v>
      </c>
      <c r="I103" s="1">
        <v>448630000</v>
      </c>
      <c r="J103" s="1">
        <v>272656000</v>
      </c>
      <c r="Q103" s="37" t="s">
        <v>144</v>
      </c>
      <c r="R103" s="42">
        <f>R99+R101</f>
        <v>13461540000</v>
      </c>
    </row>
    <row r="104" spans="1:19" ht="20" customHeight="1" thickBot="1">
      <c r="A104" s="7" t="s">
        <v>89</v>
      </c>
      <c r="B104" s="11">
        <v>21658000</v>
      </c>
      <c r="C104" s="11">
        <v>58081000</v>
      </c>
      <c r="D104" s="11">
        <v>23282000</v>
      </c>
      <c r="E104" s="11">
        <v>136233000</v>
      </c>
      <c r="F104" s="11">
        <v>311215000</v>
      </c>
      <c r="G104" s="11">
        <v>531953000</v>
      </c>
      <c r="H104" s="11">
        <v>448630000</v>
      </c>
      <c r="I104" s="11">
        <v>272656000</v>
      </c>
      <c r="J104" s="11">
        <v>271000000</v>
      </c>
      <c r="Q104" s="68" t="s">
        <v>145</v>
      </c>
      <c r="R104" s="69"/>
    </row>
    <row r="105" spans="1:19" ht="21" thickTop="1">
      <c r="A105" s="14" t="s">
        <v>107</v>
      </c>
      <c r="B105" s="1"/>
      <c r="C105" s="15">
        <f>(C106/B106)-1</f>
        <v>0.35140359724323411</v>
      </c>
      <c r="D105" s="15">
        <f>(D106/C106)-1</f>
        <v>0.11621784107635214</v>
      </c>
      <c r="E105" s="15">
        <f>(E106/D106)-1</f>
        <v>-0.30871236743866426</v>
      </c>
      <c r="F105" s="15">
        <f>(F106/E106)-1</f>
        <v>-0.79876951183471689</v>
      </c>
      <c r="G105" s="15">
        <f>(G106/F106)-1</f>
        <v>-4.6961281708945259</v>
      </c>
      <c r="H105" s="15">
        <f t="shared" ref="H105" si="19">(H106/G106)-1</f>
        <v>2.9948706834272505</v>
      </c>
      <c r="I105" s="15">
        <f>(I106/H106)-1</f>
        <v>-0.21008372967792099</v>
      </c>
      <c r="J105" s="15">
        <f>(J106/I106)-1</f>
        <v>-0.25595238095238093</v>
      </c>
      <c r="K105" s="66">
        <v>271300000</v>
      </c>
      <c r="L105" s="66">
        <v>378800000</v>
      </c>
      <c r="M105" s="66">
        <v>596300000</v>
      </c>
      <c r="N105" s="66">
        <v>780000000</v>
      </c>
      <c r="O105" s="66">
        <v>1007000000</v>
      </c>
      <c r="P105" s="15"/>
      <c r="Q105" s="26" t="s">
        <v>108</v>
      </c>
      <c r="R105" s="27">
        <f>(R100*R92)+(R102*R97)</f>
        <v>7.0901514649988479E-2</v>
      </c>
      <c r="S105" s="15"/>
    </row>
    <row r="106" spans="1:19" ht="19">
      <c r="A106" s="5" t="s">
        <v>90</v>
      </c>
      <c r="B106" s="1">
        <v>-35694000</v>
      </c>
      <c r="C106" s="1">
        <v>-48237000</v>
      </c>
      <c r="D106" s="1">
        <v>-53843000</v>
      </c>
      <c r="E106" s="1">
        <v>-37221000</v>
      </c>
      <c r="F106" s="1">
        <v>-7490000</v>
      </c>
      <c r="G106" s="1">
        <v>27684000</v>
      </c>
      <c r="H106" s="1">
        <v>110594000</v>
      </c>
      <c r="I106" s="1">
        <v>87360000</v>
      </c>
      <c r="J106" s="1">
        <v>65000000</v>
      </c>
      <c r="K106" s="43">
        <f>J106*(1+$R$106)</f>
        <v>79290732.685187638</v>
      </c>
      <c r="L106" s="43">
        <f t="shared" ref="L106:O106" si="20">K106*(1+$R$106)</f>
        <v>96723389.073136657</v>
      </c>
      <c r="M106" s="43">
        <f t="shared" si="20"/>
        <v>117988744.42159195</v>
      </c>
      <c r="N106" s="43">
        <f t="shared" si="20"/>
        <v>143929446.05835956</v>
      </c>
      <c r="O106" s="43">
        <f t="shared" si="20"/>
        <v>175573403.58370033</v>
      </c>
      <c r="P106" s="44" t="s">
        <v>146</v>
      </c>
      <c r="Q106" s="45" t="s">
        <v>147</v>
      </c>
      <c r="R106" s="46">
        <f>(SUM(K4:O4)/5)</f>
        <v>0.21985742592596358</v>
      </c>
    </row>
    <row r="107" spans="1:19" ht="19">
      <c r="A107" s="5"/>
      <c r="B107" s="13"/>
      <c r="C107" s="13"/>
      <c r="D107" s="13"/>
      <c r="E107" s="13"/>
      <c r="F107" s="13"/>
      <c r="G107" s="13"/>
      <c r="H107" s="13"/>
      <c r="I107" s="13"/>
      <c r="J107" s="13"/>
      <c r="K107" s="44"/>
      <c r="L107" s="44"/>
      <c r="M107" s="44"/>
      <c r="N107" s="44"/>
      <c r="O107" s="67">
        <f>O105*(1+R107)/(R108-R107)</f>
        <v>22486730729.271458</v>
      </c>
      <c r="P107" s="48" t="s">
        <v>148</v>
      </c>
      <c r="Q107" s="49" t="s">
        <v>149</v>
      </c>
      <c r="R107" s="50">
        <v>2.5000000000000001E-2</v>
      </c>
    </row>
    <row r="108" spans="1:19" ht="19">
      <c r="K108" s="47">
        <f t="shared" ref="K108:M108" si="21">K107+K106</f>
        <v>79290732.685187638</v>
      </c>
      <c r="L108" s="47">
        <f t="shared" si="21"/>
        <v>96723389.073136657</v>
      </c>
      <c r="M108" s="47">
        <f t="shared" si="21"/>
        <v>117988744.42159195</v>
      </c>
      <c r="N108" s="47">
        <f>N107+N106</f>
        <v>143929446.05835956</v>
      </c>
      <c r="O108" s="67">
        <f>O107+O105</f>
        <v>23493730729.271458</v>
      </c>
      <c r="P108" s="48" t="s">
        <v>144</v>
      </c>
      <c r="Q108" s="51" t="s">
        <v>150</v>
      </c>
      <c r="R108" s="52">
        <f>R105</f>
        <v>7.0901514649988479E-2</v>
      </c>
    </row>
    <row r="109" spans="1:19" ht="19">
      <c r="K109" s="70" t="s">
        <v>151</v>
      </c>
      <c r="L109" s="71"/>
    </row>
    <row r="110" spans="1:19" ht="20">
      <c r="K110" s="53" t="s">
        <v>152</v>
      </c>
      <c r="L110" s="41">
        <f>NPV(R108,K108,L108,M108,N108,O108)</f>
        <v>17044203495.864441</v>
      </c>
    </row>
    <row r="111" spans="1:19" ht="20">
      <c r="K111" s="53" t="s">
        <v>153</v>
      </c>
      <c r="L111" s="41">
        <f>J40</f>
        <v>2580000000</v>
      </c>
    </row>
    <row r="112" spans="1:19" ht="20">
      <c r="K112" s="53" t="s">
        <v>140</v>
      </c>
      <c r="L112" s="41">
        <f>R99</f>
        <v>2335000000</v>
      </c>
    </row>
    <row r="113" spans="11:12" ht="20">
      <c r="K113" s="53" t="s">
        <v>154</v>
      </c>
      <c r="L113" s="41">
        <f>L110+L111-L112</f>
        <v>17289203495.864441</v>
      </c>
    </row>
    <row r="114" spans="11:12" ht="20">
      <c r="K114" s="53" t="s">
        <v>162</v>
      </c>
      <c r="L114" s="54">
        <f>J34*(1+(5*0.05))</f>
        <v>197528750</v>
      </c>
    </row>
    <row r="115" spans="11:12" ht="20">
      <c r="K115" s="55" t="s">
        <v>155</v>
      </c>
      <c r="L115" s="56">
        <f>L113/L114</f>
        <v>87.527529515903083</v>
      </c>
    </row>
    <row r="116" spans="11:12" ht="20">
      <c r="K116" s="53" t="s">
        <v>156</v>
      </c>
      <c r="L116" s="57" cm="1">
        <f t="array" ref="L116">_FV(A1,"Price")</f>
        <v>68.53</v>
      </c>
    </row>
    <row r="117" spans="11:12" ht="20">
      <c r="K117" s="58" t="s">
        <v>157</v>
      </c>
      <c r="L117" s="59">
        <f>L115/L116-1</f>
        <v>0.27721478937550104</v>
      </c>
    </row>
    <row r="118" spans="11:12" ht="20">
      <c r="K118" s="58" t="s">
        <v>158</v>
      </c>
      <c r="L118" s="60" t="str">
        <f>IF(L115&gt;L116,"BUY","SELL")</f>
        <v>BUY</v>
      </c>
    </row>
  </sheetData>
  <mergeCells count="6">
    <mergeCell ref="Q104:R104"/>
    <mergeCell ref="K109:L109"/>
    <mergeCell ref="Q83:R83"/>
    <mergeCell ref="Q84:R84"/>
    <mergeCell ref="Q93:R93"/>
    <mergeCell ref="Q98:R98"/>
  </mergeCells>
  <hyperlinks>
    <hyperlink ref="A1" r:id="rId1" tooltip="https://roic.ai/company/OKTA" display="ROIC.AI | OKTA"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660134/000166013418000007/0001660134-18-000007-index.html" xr:uid="{00000000-0004-0000-0000-00000A000000}"/>
    <hyperlink ref="E74" r:id="rId9" tooltip="https://www.sec.gov/Archives/edgar/data/1660134/000166013418000007/0001660134-18-000007-index.html" xr:uid="{00000000-0004-0000-0000-00000B000000}"/>
    <hyperlink ref="F36" r:id="rId10" tooltip="https://www.sec.gov/Archives/edgar/data/1660134/000166013419000006/0001660134-19-000006-index.html" xr:uid="{00000000-0004-0000-0000-00000D000000}"/>
    <hyperlink ref="F74" r:id="rId11" tooltip="https://www.sec.gov/Archives/edgar/data/1660134/000166013419000006/0001660134-19-000006-index.html" xr:uid="{00000000-0004-0000-0000-00000E000000}"/>
    <hyperlink ref="G36" r:id="rId12" tooltip="https://www.sec.gov/Archives/edgar/data/1660134/000166013420000006/0001660134-20-000006-index.html" xr:uid="{00000000-0004-0000-0000-000010000000}"/>
    <hyperlink ref="G74" r:id="rId13" tooltip="https://www.sec.gov/Archives/edgar/data/1660134/000166013420000006/0001660134-20-000006-index.html" xr:uid="{00000000-0004-0000-0000-000011000000}"/>
    <hyperlink ref="H36" r:id="rId14" tooltip="https://www.sec.gov/Archives/edgar/data/1660134/000166013421000007/0001660134-21-000007-index.htm" xr:uid="{00000000-0004-0000-0000-000013000000}"/>
    <hyperlink ref="H74" r:id="rId15" tooltip="https://www.sec.gov/Archives/edgar/data/1660134/000166013421000007/0001660134-21-000007-index.htm" xr:uid="{00000000-0004-0000-0000-000014000000}"/>
    <hyperlink ref="I36" r:id="rId16" tooltip="https://www.sec.gov/Archives/edgar/data/1660134/000166013422000010/0001660134-22-000010-index.htm" xr:uid="{00000000-0004-0000-0000-000016000000}"/>
    <hyperlink ref="I74" r:id="rId17" tooltip="https://www.sec.gov/Archives/edgar/data/1660134/000166013422000010/0001660134-22-000010-index.htm" xr:uid="{00000000-0004-0000-0000-000017000000}"/>
    <hyperlink ref="J36" r:id="rId18" tooltip="https://www.sec.gov/Archives/edgar/data/1660134/000166013423000013/0001660134-23-000013-index.htm" xr:uid="{8A89EFDB-1013-714B-92CC-76DD34CA2534}"/>
    <hyperlink ref="J74" r:id="rId19" tooltip="https://www.sec.gov/Archives/edgar/data/1660134/000166013423000013/0001660134-23-000013-index.htm" xr:uid="{31D6D0A3-15ED-F044-94A9-8A00119B1425}"/>
    <hyperlink ref="K1" r:id="rId20" display="https://finbox.com/NASDAQGS:OKTA/explorer/revenue_proj" xr:uid="{910E93A7-0337-5149-8798-EFA6D1FB52FE}"/>
  </hyperlinks>
  <pageMargins left="0.7" right="0.7" top="0.75" bottom="0.75" header="0.3" footer="0.3"/>
  <drawing r:id="rId2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2023-01-12T09:17:50Z</dcterms:created>
  <dcterms:modified xsi:type="dcterms:W3CDTF">2023-07-10T10:02:12Z</dcterms:modified>
</cp:coreProperties>
</file>