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28B41A52-5881-7E46-9CB5-D50A11D482FF}" xr6:coauthVersionLast="47" xr6:coauthVersionMax="47" xr10:uidLastSave="{00000000-0000-0000-0000-000000000000}"/>
  <bookViews>
    <workbookView xWindow="40960" yWindow="554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4" i="1" l="1"/>
  <c r="F108" i="1" l="1"/>
  <c r="G108" i="1"/>
  <c r="H108" i="1"/>
  <c r="I108" i="1"/>
  <c r="G105" i="1"/>
  <c r="H105" i="1" s="1"/>
  <c r="I105" i="1" s="1"/>
  <c r="J105" i="1" s="1"/>
  <c r="F105" i="1"/>
  <c r="J30" i="1"/>
  <c r="I30" i="1"/>
  <c r="H30" i="1"/>
  <c r="G30" i="1"/>
  <c r="F30" i="1"/>
  <c r="J29" i="1"/>
  <c r="I29" i="1"/>
  <c r="H29" i="1"/>
  <c r="G29" i="1"/>
  <c r="F29" i="1"/>
  <c r="J21" i="1"/>
  <c r="I21" i="1"/>
  <c r="H21" i="1"/>
  <c r="G21" i="1"/>
  <c r="F21" i="1"/>
  <c r="J20" i="1"/>
  <c r="I20" i="1"/>
  <c r="H20" i="1"/>
  <c r="G20" i="1"/>
  <c r="F20" i="1"/>
  <c r="B105" i="1" l="1"/>
  <c r="C105" i="1"/>
  <c r="D105" i="1"/>
  <c r="E105" i="1"/>
  <c r="G114" i="1" l="1" a="1"/>
  <c r="G114" i="1" s="1"/>
  <c r="K16" i="1"/>
  <c r="M86" i="1"/>
  <c r="M87" i="1"/>
  <c r="M99" i="1"/>
  <c r="M101" i="1" a="1"/>
  <c r="M101" i="1" s="1"/>
  <c r="M85" i="1"/>
  <c r="M88" i="1"/>
  <c r="M89" i="1"/>
  <c r="M90" i="1"/>
  <c r="M91" i="1"/>
  <c r="M92" i="1"/>
  <c r="M95" i="1" a="1"/>
  <c r="M95" i="1" s="1"/>
  <c r="M97" i="1" s="1"/>
  <c r="F4" i="1"/>
  <c r="G4" i="1"/>
  <c r="H4" i="1"/>
  <c r="I4" i="1"/>
  <c r="J4" i="1"/>
  <c r="G111" i="1"/>
  <c r="G112" i="1"/>
  <c r="G116" i="1" a="1"/>
  <c r="G116" i="1" s="1"/>
  <c r="K19" i="1"/>
  <c r="N13" i="1"/>
  <c r="M13" i="1"/>
  <c r="L13" i="1"/>
  <c r="K13" i="1"/>
  <c r="N10" i="1"/>
  <c r="M10" i="1"/>
  <c r="L10" i="1"/>
  <c r="K10" i="1"/>
  <c r="N7" i="1"/>
  <c r="M7" i="1"/>
  <c r="L7" i="1"/>
  <c r="K7" i="1"/>
  <c r="M4" i="1"/>
  <c r="L4" i="1"/>
  <c r="K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22" i="1" l="1"/>
  <c r="M19" i="1"/>
  <c r="L19" i="1"/>
  <c r="N19" i="1"/>
  <c r="M22" i="1"/>
  <c r="M106" i="1"/>
  <c r="N16" i="1"/>
  <c r="M16" i="1"/>
  <c r="M103" i="1"/>
  <c r="M100" i="1" s="1"/>
  <c r="L16" i="1"/>
  <c r="M102" i="1" l="1"/>
  <c r="M105" i="1" s="1"/>
  <c r="M108" i="1" s="1"/>
  <c r="J107" i="1" s="1"/>
  <c r="J108"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<sst xmlns="http://schemas.openxmlformats.org/spreadsheetml/2006/main" count="267" uniqueCount="167">
  <si>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</si>
  <si>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</si>
  <si>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</si>
  <si>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</si>
  <si>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</si>
  <si>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</si>
  <si>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</si>
  <si>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</si>
  <si>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</si>
  <si>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</si>
  <si>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</si>
  <si>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</si>
  <si>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</si>
  <si>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</si>
  <si>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</si>
  <si>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</si>
  <si>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</si>
  <si>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</si>
  <si>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</si>
  <si>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</si>
  <si>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</si>
  <si>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</si>
  <si>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</si>
  <si>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</si>
  <si>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</si>
  <si>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</si>
  <si>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</si>
  <si>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</si>
  <si>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</si>
  <si>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</si>
  <si>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</si>
  <si>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</si>
  <si>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</si>
  <si>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</si>
  <si>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</si>
  <si>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</si>
  <si>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</si>
  <si>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</si>
  <si>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</si>
  <si>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</si>
  <si>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</si>
  <si>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</si>
  <si>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</si>
  <si>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</si>
  <si>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</si>
  <si>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</si>
  <si>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</si>
  <si>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</si>
  <si>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</si>
  <si>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</si>
  <si>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</si>
  <si>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</si>
  <si>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</si>
  <si>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</si>
  <si>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</si>
  <si>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</si>
  <si>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</si>
  <si>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</si>
  <si>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</si>
  <si>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</si>
  <si>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</si>
  <si>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</si>
  <si>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</si>
  <si>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</si>
  <si>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</si>
  <si>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</si>
  <si>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</si>
  <si>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</si>
  <si>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</si>
  <si>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</si>
  <si>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</si>
  <si>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</si>
  <si>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</si>
  <si>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</si>
  <si>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</si>
  <si>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</si>
  <si>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</si>
  <si>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</si>
  <si>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</si>
  <si>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</si>
  <si>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</si>
  <si>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</si>
  <si>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</si>
  <si>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</si>
  <si>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</si>
  <si>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</si>
  <si>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</si>
  <si>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</si>
  <si>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</si>
  <si>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</si>
  <si>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</si>
  <si>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</si>
  <si>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</si>
  <si>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</si>
  <si>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</si>
  <si>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</si>
  <si>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</si>
  <si>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</si>
  <si>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</si>
  <si>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</si>
  <si>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</si>
  <si>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</si>
  <si>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</si>
  <si>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</si>
  <si>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</si>
  <si>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</si>
  <si>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</si>
  <si>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</si>
  <si>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</si>
  <si>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</si>
  <si>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</si>
  <si>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</si>
  <si>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</si>
  <si>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</si>
  <si>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</si>
  <si>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</si>
  <si>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</si>
  <si>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</si>
  <si>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</si>
  <si>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</si>
  <si>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</si>
  <si>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</si>
  <si>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</si>
  <si>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</si>
  <si>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</si>
  <si>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</si>
  <si>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</si>
  <si>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</si>
  <si>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</si>
  <si>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</si>
  <si>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</si>
  <si>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</si>
  <si>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</si>
  <si>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</si>
  <si>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</si>
  <si>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</si>
  <si>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</si>
  <si>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</si>
  <si>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</si>
  <si>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</si>
  <si>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</si>
  <si>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</si>
  <si>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</si>
  <si>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</si>
  <si>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</si>
  <si>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</si>
  <si>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</si>
  <si>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</si>
  <si>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</si>
  <si>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</si>
  <si>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</si>
  <si>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</si>
  <si>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</si>
  <si>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</si>
  <si>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</si>
  <si>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</si>
  <si>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</si>
  <si>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 (No dilution)</t>
  </si>
  <si>
    <t>Unlevered FCF</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</si>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</sst>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71" fontId="11" fillId="0" borderId="9" xfId="0" applyNumberFormat="1" applyFont="1" applyBorder="1" applyAlignment="1">
      <alignment horizontal="center"/>
    </xf>
    <xf numFmtId="171" fontId="11" fillId="0" borderId="5" xfId="0" applyNumberFormat="1" applyFont="1" applyBorder="1" applyAlignment="1">
      <alignment horizontal="center"/>
    </xf>
    <xf numFmtId="172"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8"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0" fontId="11" fillId="4"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Samsara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928637651636836E-2"/>
          <c:y val="0.1483914708810247"/>
          <c:w val="0.86071647014272468"/>
          <c:h val="0.7513362129737628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119865000</c:v>
                </c:pt>
                <c:pt idx="1">
                  <c:v>249905000</c:v>
                </c:pt>
                <c:pt idx="2">
                  <c:v>428345000</c:v>
                </c:pt>
                <c:pt idx="3">
                  <c:v>652545000</c:v>
                </c:pt>
              </c:numCache>
            </c:numRef>
          </c:val>
          <c:extLst>
            <c:ext xmlns:c16="http://schemas.microsoft.com/office/drawing/2014/chart" uri="{C3380CC4-5D6E-409C-BE32-E72D297353CC}">
              <c16:uniqueId val="{00000000-D8E1-E548-8D21-2D855B01EB2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-220564000</c:v>
                </c:pt>
                <c:pt idx="1">
                  <c:v>-199383000</c:v>
                </c:pt>
                <c:pt idx="2">
                  <c:v>-343464000</c:v>
                </c:pt>
                <c:pt idx="3">
                  <c:v>-216447000</c:v>
                </c:pt>
              </c:numCache>
            </c:numRef>
          </c:val>
          <c:extLst>
            <c:ext xmlns:c16="http://schemas.microsoft.com/office/drawing/2014/chart" uri="{C3380CC4-5D6E-409C-BE32-E72D297353CC}">
              <c16:uniqueId val="{00000001-D8E1-E548-8D21-2D855B01EB2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-222515000</c:v>
                </c:pt>
                <c:pt idx="1">
                  <c:v>-203871000</c:v>
                </c:pt>
                <c:pt idx="2">
                  <c:v>-190834000</c:v>
                </c:pt>
                <c:pt idx="3">
                  <c:v>-136261000</c:v>
                </c:pt>
              </c:numCache>
            </c:numRef>
          </c:val>
          <c:extLst>
            <c:ext xmlns:c16="http://schemas.microsoft.com/office/drawing/2014/chart" uri="{C3380CC4-5D6E-409C-BE32-E72D297353CC}">
              <c16:uniqueId val="{00000002-D8E1-E548-8D21-2D855B01EB20}"/>
            </c:ext>
          </c:extLst>
        </c:ser>
        <c:dLbls>
          <c:showLegendKey val="0"/>
          <c:showVal val="0"/>
          <c:showCatName val="0"/>
          <c:showSerName val="0"/>
          <c:showPercent val="0"/>
          <c:showBubbleSize val="0"/>
        </c:dLbls>
        <c:gapWidth val="100"/>
        <c:overlap val="-24"/>
        <c:axId val="1380488896"/>
        <c:axId val="1380491168"/>
      </c:barChart>
      <c:catAx>
        <c:axId val="1380488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0491168"/>
        <c:crosses val="autoZero"/>
        <c:auto val="1"/>
        <c:lblAlgn val="ctr"/>
        <c:lblOffset val="100"/>
        <c:noMultiLvlLbl val="0"/>
      </c:catAx>
      <c:valAx>
        <c:axId val="13804911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0488896"/>
        <c:crosses val="autoZero"/>
        <c:crossBetween val="between"/>
      </c:valAx>
      <c:spPr>
        <a:noFill/>
        <a:ln>
          <a:noFill/>
        </a:ln>
        <a:effectLst/>
      </c:spPr>
    </c:plotArea>
    <c:legend>
      <c:legendPos val="b"/>
      <c:layout>
        <c:manualLayout>
          <c:xMode val="edge"/>
          <c:yMode val="edge"/>
          <c:x val="0.34929718859769393"/>
          <c:y val="0.93126749085814375"/>
          <c:w val="0.30405891800838331"/>
          <c:h val="4.20590009599877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12</xdr:col>
      <xdr:colOff>1587499</xdr:colOff>
      <xdr:row>124</xdr:row>
      <xdr:rowOff>15875</xdr:rowOff>
    </xdr:to>
    <xdr:graphicFrame macro="">
      <xdr:nvGraphicFramePr>
        <xdr:cNvPr id="2" name="Chart 1">
          <a:extLst>
            <a:ext uri="{FF2B5EF4-FFF2-40B4-BE49-F238E27FC236}">
              <a16:creationId xmlns:a16="http://schemas.microsoft.com/office/drawing/2014/main" id="{2687B1C1-5F75-F32D-12B4-62F01793D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4.0410000000000001E-2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30.91</v>
    <v>8.42</v>
    <v>1.5609999999999999</v>
    <v>-0.22</v>
    <v>-8.3079999999999994E-3</v>
    <v>-0.21</v>
    <v>-7.9969999999999989E-3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27.15</v>
    <v>Software &amp; IT Services</v>
    <v>Stock</v>
    <v>45114.99483087891</v>
    <v>0</v>
    <v>26.24</v>
    <v>13879234564</v>
    <v>SAMSARA INC.</v>
    <v>SAMSARA INC.</v>
    <v>26.73</v>
    <v>0</v>
    <v>26.48</v>
    <v>26.26</v>
    <v>26.05</v>
    <v>528531400</v>
    <v>IOT</v>
    <v>SAMSARA INC. (XNYS:IOT)</v>
    <v>2014845</v>
    <v>5484787</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2896/000164289622000016/0001642896-22-000016-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IOT" TargetMode="External"/><Relationship Id="rId6" Type="http://schemas.openxmlformats.org/officeDocument/2006/relationships/hyperlink" Target="https://www.sec.gov/Archives/edgar/data/1642896/000164289622000016/0001642896-22-000016-index.htm" TargetMode="External"/><Relationship Id="rId11" Type="http://schemas.openxmlformats.org/officeDocument/2006/relationships/hyperlink" Target="https://finbox.com/NYSE:IO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IO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68" activePane="bottomRight" state="frozen"/>
      <selection pane="topRight"/>
      <selection pane="bottomLeft"/>
      <selection pane="bottomRight" activeCell="G86" sqref="G86"/>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4">
        <v>2024</v>
      </c>
      <c r="G1" s="24">
        <v>2025</v>
      </c>
      <c r="H1" s="24">
        <v>2026</v>
      </c>
      <c r="I1" s="24">
        <v>2027</v>
      </c>
      <c r="J1" s="24">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119865000</v>
      </c>
      <c r="C3" s="1">
        <v>249905000</v>
      </c>
      <c r="D3" s="1">
        <v>428345000</v>
      </c>
      <c r="E3" s="1">
        <v>652545000</v>
      </c>
      <c r="F3" s="25">
        <v>872400000</v>
      </c>
      <c r="G3" s="25">
        <v>1110000000</v>
      </c>
      <c r="H3" s="25">
        <v>1441000000</v>
      </c>
      <c r="I3" s="25">
        <v>1724000000</v>
      </c>
      <c r="J3" s="25">
        <v>2124000000</v>
      </c>
      <c r="K3" s="19" t="s">
        <v>108</v>
      </c>
      <c r="L3" s="20" t="s">
        <v>109</v>
      </c>
      <c r="M3" s="20" t="s">
        <v>110</v>
      </c>
      <c r="N3" s="20" t="s">
        <v>111</v>
      </c>
    </row>
    <row r="4" spans="1:38" ht="19" x14ac:dyDescent="0.25">
      <c r="A4" s="14" t="s">
        <v>93</v>
      </c>
      <c r="B4" s="1"/>
      <c r="C4" s="15">
        <f>(C3/B3)-1</f>
        <v>1.0848871647269847</v>
      </c>
      <c r="D4" s="15">
        <f>(D3/C3)-1</f>
        <v>0.71403133190612422</v>
      </c>
      <c r="E4" s="15">
        <f>(E3/D3)-1</f>
        <v>0.52340986821370628</v>
      </c>
      <c r="F4" s="16">
        <f t="shared" ref="F4:J4" si="0">(F3/E3)-1</f>
        <v>0.33691929292232725</v>
      </c>
      <c r="G4" s="16">
        <f t="shared" si="0"/>
        <v>0.27235213204951858</v>
      </c>
      <c r="H4" s="16">
        <f t="shared" si="0"/>
        <v>0.29819819819819826</v>
      </c>
      <c r="I4" s="16">
        <f t="shared" si="0"/>
        <v>0.19639139486467738</v>
      </c>
      <c r="J4" s="16">
        <f t="shared" si="0"/>
        <v>0.23201856148491884</v>
      </c>
      <c r="K4" s="17">
        <f>(E4+D4+C4)/3</f>
        <v>0.77410945494893835</v>
      </c>
      <c r="L4" s="17">
        <f>(E20+D20+C20)/3</f>
        <v>8.5597186543178674E-2</v>
      </c>
      <c r="M4" s="17">
        <f>(E29+D29+C29)/3</f>
        <v>0.10638750186680206</v>
      </c>
      <c r="N4" s="17">
        <f>(E106+D106+C106)/3</f>
        <v>-0.14456865440287603</v>
      </c>
      <c r="T4" s="16"/>
      <c r="U4" s="16"/>
      <c r="V4" s="16"/>
      <c r="W4" s="16"/>
      <c r="X4" s="16"/>
      <c r="Y4" s="16"/>
      <c r="Z4" s="16"/>
      <c r="AA4" s="16"/>
      <c r="AB4" s="16"/>
      <c r="AC4" s="16"/>
      <c r="AD4" s="16"/>
      <c r="AE4" s="16"/>
      <c r="AF4" s="16"/>
      <c r="AI4" s="18"/>
      <c r="AJ4" s="18"/>
      <c r="AK4" s="18"/>
      <c r="AL4" s="18"/>
    </row>
    <row r="5" spans="1:38" ht="19" x14ac:dyDescent="0.25">
      <c r="A5" s="5" t="s">
        <v>2</v>
      </c>
      <c r="B5" s="1">
        <v>48322000</v>
      </c>
      <c r="C5" s="1">
        <v>75393000</v>
      </c>
      <c r="D5" s="1">
        <v>124484000</v>
      </c>
      <c r="E5" s="1">
        <v>182656000</v>
      </c>
    </row>
    <row r="6" spans="1:38" ht="20" x14ac:dyDescent="0.25">
      <c r="A6" s="6" t="s">
        <v>3</v>
      </c>
      <c r="B6" s="10">
        <v>71543000</v>
      </c>
      <c r="C6" s="10">
        <v>174512000</v>
      </c>
      <c r="D6" s="10">
        <v>303861000</v>
      </c>
      <c r="E6" s="10">
        <v>469889000</v>
      </c>
      <c r="K6" s="19" t="s">
        <v>112</v>
      </c>
      <c r="L6" s="20" t="s">
        <v>113</v>
      </c>
      <c r="M6" s="20" t="s">
        <v>114</v>
      </c>
      <c r="N6" s="20" t="s">
        <v>115</v>
      </c>
    </row>
    <row r="7" spans="1:38" ht="19" x14ac:dyDescent="0.25">
      <c r="A7" s="5" t="s">
        <v>4</v>
      </c>
      <c r="B7" s="2">
        <v>0.59689999999999999</v>
      </c>
      <c r="C7" s="2">
        <v>0.69830000000000003</v>
      </c>
      <c r="D7" s="2">
        <v>0.70940000000000003</v>
      </c>
      <c r="E7" s="2">
        <v>0.72009999999999996</v>
      </c>
      <c r="K7" s="17">
        <f>E7</f>
        <v>0.72009999999999996</v>
      </c>
      <c r="L7" s="21">
        <f>E21</f>
        <v>-0.33169999999999999</v>
      </c>
      <c r="M7" s="21">
        <f>E30</f>
        <v>-0.37919999999999998</v>
      </c>
      <c r="N7" s="21">
        <f>E107/E3</f>
        <v>-0.20881471775892851</v>
      </c>
    </row>
    <row r="8" spans="1:38" ht="19" x14ac:dyDescent="0.25">
      <c r="A8" s="5" t="s">
        <v>5</v>
      </c>
      <c r="B8" s="1">
        <v>70466000</v>
      </c>
      <c r="C8" s="1">
        <v>99738000</v>
      </c>
      <c r="D8" s="1">
        <v>205125000</v>
      </c>
      <c r="E8" s="1">
        <v>187405000</v>
      </c>
    </row>
    <row r="9" spans="1:38" ht="19" customHeight="1" x14ac:dyDescent="0.25">
      <c r="A9" s="14" t="s">
        <v>94</v>
      </c>
      <c r="B9" s="15">
        <f>B8/B3</f>
        <v>0.58787802944979772</v>
      </c>
      <c r="C9" s="15">
        <f t="shared" ref="C9:E9" si="1">C8/C3</f>
        <v>0.39910365939056841</v>
      </c>
      <c r="D9" s="15">
        <f t="shared" si="1"/>
        <v>0.4788780072138113</v>
      </c>
      <c r="E9" s="15">
        <f t="shared" si="1"/>
        <v>0.28719092169888666</v>
      </c>
      <c r="F9" s="15"/>
      <c r="G9" s="15"/>
      <c r="K9" s="19" t="s">
        <v>95</v>
      </c>
      <c r="L9" s="20" t="s">
        <v>96</v>
      </c>
      <c r="M9" s="20" t="s">
        <v>97</v>
      </c>
      <c r="N9" s="20" t="s">
        <v>98</v>
      </c>
    </row>
    <row r="10" spans="1:38" ht="19" x14ac:dyDescent="0.25">
      <c r="A10" s="5" t="s">
        <v>6</v>
      </c>
      <c r="B10" s="1">
        <v>47339000</v>
      </c>
      <c r="C10" s="1">
        <v>75223000</v>
      </c>
      <c r="D10" s="1">
        <v>159843000</v>
      </c>
      <c r="E10" s="1">
        <v>170785000</v>
      </c>
      <c r="K10" s="17">
        <f>E9</f>
        <v>0.28719092169888666</v>
      </c>
      <c r="L10" s="21">
        <f>E13</f>
        <v>0.82888229930502877</v>
      </c>
      <c r="M10" s="21">
        <f>E80</f>
        <v>0.27197051544337936</v>
      </c>
      <c r="N10" s="21">
        <f>E89</f>
        <v>5.0939015700066662E-2</v>
      </c>
    </row>
    <row r="11" spans="1:38" ht="19" x14ac:dyDescent="0.25">
      <c r="A11" s="5" t="s">
        <v>7</v>
      </c>
      <c r="B11" s="1">
        <v>181556000</v>
      </c>
      <c r="C11" s="1">
        <v>202262000</v>
      </c>
      <c r="D11" s="1">
        <v>291209000</v>
      </c>
      <c r="E11" s="1">
        <v>370098000</v>
      </c>
    </row>
    <row r="12" spans="1:38" ht="20" x14ac:dyDescent="0.25">
      <c r="A12" s="5" t="s">
        <v>8</v>
      </c>
      <c r="B12" s="1">
        <v>228895000</v>
      </c>
      <c r="C12" s="1">
        <v>277485000</v>
      </c>
      <c r="D12" s="1">
        <v>451052000</v>
      </c>
      <c r="E12" s="1">
        <v>540883000</v>
      </c>
      <c r="K12" s="19" t="s">
        <v>116</v>
      </c>
      <c r="L12" s="20" t="s">
        <v>117</v>
      </c>
      <c r="M12" s="20" t="s">
        <v>118</v>
      </c>
      <c r="N12" s="20" t="s">
        <v>119</v>
      </c>
    </row>
    <row r="13" spans="1:38" ht="19" x14ac:dyDescent="0.25">
      <c r="A13" s="14" t="s">
        <v>99</v>
      </c>
      <c r="B13" s="15">
        <f>B12/B3</f>
        <v>1.909606640804238</v>
      </c>
      <c r="C13" s="15">
        <f t="shared" ref="C13:E13" si="2">C12/C3</f>
        <v>1.1103619375362639</v>
      </c>
      <c r="D13" s="15">
        <f t="shared" si="2"/>
        <v>1.0530110074822865</v>
      </c>
      <c r="E13" s="15">
        <f t="shared" si="2"/>
        <v>0.82888229930502877</v>
      </c>
      <c r="F13" s="15"/>
      <c r="G13" s="15"/>
      <c r="K13" s="17">
        <f>E28/E72</f>
        <v>-0.26377077649813063</v>
      </c>
      <c r="L13" s="21">
        <f>E28/E54</f>
        <v>-0.15301222999515154</v>
      </c>
      <c r="M13" s="21">
        <f>E22/(E72+E56+E61)</f>
        <v>-0.24455223156090972</v>
      </c>
      <c r="N13" s="22">
        <f>E67/E72</f>
        <v>0.72385420764398167</v>
      </c>
    </row>
    <row r="14" spans="1:38" ht="19" x14ac:dyDescent="0.25">
      <c r="A14" s="5" t="s">
        <v>9</v>
      </c>
      <c r="B14" s="1" t="s">
        <v>91</v>
      </c>
      <c r="C14" s="1" t="s">
        <v>91</v>
      </c>
      <c r="D14" s="1" t="s">
        <v>91</v>
      </c>
      <c r="E14" s="1">
        <v>1056000</v>
      </c>
    </row>
    <row r="15" spans="1:38" ht="20" x14ac:dyDescent="0.25">
      <c r="A15" s="5" t="s">
        <v>10</v>
      </c>
      <c r="B15" s="1">
        <v>299361000</v>
      </c>
      <c r="C15" s="1">
        <v>377223000</v>
      </c>
      <c r="D15" s="1">
        <v>656177000</v>
      </c>
      <c r="E15" s="1">
        <v>729344000</v>
      </c>
      <c r="K15" s="19" t="s">
        <v>156</v>
      </c>
      <c r="L15" s="20" t="s">
        <v>120</v>
      </c>
      <c r="M15" s="20" t="s">
        <v>121</v>
      </c>
      <c r="N15" s="20" t="s">
        <v>122</v>
      </c>
    </row>
    <row r="16" spans="1:38" ht="19" x14ac:dyDescent="0.25">
      <c r="A16" s="5" t="s">
        <v>11</v>
      </c>
      <c r="B16" s="1">
        <v>347683000</v>
      </c>
      <c r="C16" s="1">
        <v>452616000</v>
      </c>
      <c r="D16" s="1">
        <v>780661000</v>
      </c>
      <c r="E16" s="1">
        <v>912000000</v>
      </c>
      <c r="K16" s="26">
        <f>(E35+D35+C35/3)</f>
        <v>0.15215614220822252</v>
      </c>
      <c r="L16" s="34">
        <f>M101/E3</f>
        <v>21.269390714816602</v>
      </c>
      <c r="M16" s="34">
        <f>M101/E28</f>
        <v>-56.095393958500054</v>
      </c>
      <c r="N16" s="35">
        <f>M101/E107</f>
        <v>-101.8577183786997</v>
      </c>
    </row>
    <row r="17" spans="1:14" ht="19" x14ac:dyDescent="0.25">
      <c r="A17" s="5" t="s">
        <v>12</v>
      </c>
      <c r="B17" s="1" t="s">
        <v>91</v>
      </c>
      <c r="C17" s="1" t="s">
        <v>91</v>
      </c>
      <c r="D17" s="1">
        <v>-2000</v>
      </c>
      <c r="E17" s="1">
        <v>15620000</v>
      </c>
    </row>
    <row r="18" spans="1:14" ht="20" x14ac:dyDescent="0.25">
      <c r="A18" s="5" t="s">
        <v>13</v>
      </c>
      <c r="B18" s="1">
        <v>4320000</v>
      </c>
      <c r="C18" s="1">
        <v>10738000</v>
      </c>
      <c r="D18" s="1">
        <v>10388000</v>
      </c>
      <c r="E18" s="1">
        <v>11768000</v>
      </c>
      <c r="K18" s="19" t="s">
        <v>123</v>
      </c>
      <c r="L18" s="20" t="s">
        <v>162</v>
      </c>
      <c r="M18" s="20" t="s">
        <v>163</v>
      </c>
      <c r="N18" s="20" t="s">
        <v>164</v>
      </c>
    </row>
    <row r="19" spans="1:14" ht="19" x14ac:dyDescent="0.25">
      <c r="A19" s="6" t="s">
        <v>14</v>
      </c>
      <c r="B19" s="10">
        <v>-220564000</v>
      </c>
      <c r="C19" s="10">
        <v>-199383000</v>
      </c>
      <c r="D19" s="10">
        <v>-343464000</v>
      </c>
      <c r="E19" s="10">
        <v>-216447000</v>
      </c>
      <c r="F19" s="38">
        <v>-30951000</v>
      </c>
      <c r="G19" s="38">
        <v>50000000</v>
      </c>
      <c r="H19" s="38">
        <v>100000000</v>
      </c>
      <c r="I19" s="38">
        <v>350000000</v>
      </c>
      <c r="J19" s="38">
        <v>315700000</v>
      </c>
      <c r="K19" s="27">
        <f>E40-E56-E61</f>
        <v>566942000</v>
      </c>
      <c r="L19" s="34">
        <f>M101/F3</f>
        <v>15.909255575424117</v>
      </c>
      <c r="M19" s="34">
        <f>M101/F28</f>
        <v>-1559.464557752809</v>
      </c>
      <c r="N19" s="35">
        <f>M101/F106</f>
        <v>6063.4489139362167</v>
      </c>
    </row>
    <row r="20" spans="1:14" ht="19" customHeight="1" x14ac:dyDescent="0.25">
      <c r="A20" s="14" t="s">
        <v>100</v>
      </c>
      <c r="B20" s="1"/>
      <c r="C20" s="15">
        <f>(C19/B19)-1</f>
        <v>-9.6031083948423079E-2</v>
      </c>
      <c r="D20" s="15">
        <f>(D19/C19)-1</f>
        <v>0.72263432689848184</v>
      </c>
      <c r="E20" s="15">
        <f>(E19/D19)-1</f>
        <v>-0.36981168332052272</v>
      </c>
      <c r="F20" s="16">
        <f t="shared" ref="F20:J20" si="3">(F19/E19)-1</f>
        <v>-0.85700425508323053</v>
      </c>
      <c r="G20" s="16">
        <f t="shared" si="3"/>
        <v>-2.6154566896061517</v>
      </c>
      <c r="H20" s="16">
        <f t="shared" si="3"/>
        <v>1</v>
      </c>
      <c r="I20" s="16">
        <f t="shared" si="3"/>
        <v>2.5</v>
      </c>
      <c r="J20" s="16">
        <f t="shared" si="3"/>
        <v>-9.7999999999999976E-2</v>
      </c>
    </row>
    <row r="21" spans="1:14" ht="20" x14ac:dyDescent="0.25">
      <c r="A21" s="5" t="s">
        <v>15</v>
      </c>
      <c r="B21" s="2">
        <v>-1.8401000000000001</v>
      </c>
      <c r="C21" s="2">
        <v>-0.79779999999999995</v>
      </c>
      <c r="D21" s="2">
        <v>-0.80179999999999996</v>
      </c>
      <c r="E21" s="2">
        <v>-0.33169999999999999</v>
      </c>
      <c r="F21" s="39">
        <f t="shared" ref="F21:J21" si="4">F19/F3</f>
        <v>-3.5477991746905087E-2</v>
      </c>
      <c r="G21" s="39">
        <f t="shared" si="4"/>
        <v>4.5045045045045043E-2</v>
      </c>
      <c r="H21" s="39">
        <f t="shared" si="4"/>
        <v>6.9396252602359473E-2</v>
      </c>
      <c r="I21" s="39">
        <f t="shared" si="4"/>
        <v>0.20301624129930396</v>
      </c>
      <c r="J21" s="39">
        <f t="shared" si="4"/>
        <v>0.14863465160075329</v>
      </c>
      <c r="M21" s="19" t="s">
        <v>165</v>
      </c>
      <c r="N21" s="20" t="s">
        <v>166</v>
      </c>
    </row>
    <row r="22" spans="1:14" ht="19" x14ac:dyDescent="0.25">
      <c r="A22" s="6" t="s">
        <v>16</v>
      </c>
      <c r="B22" s="10">
        <v>-227818000</v>
      </c>
      <c r="C22" s="10">
        <v>-209479000</v>
      </c>
      <c r="D22" s="10">
        <v>-353848000</v>
      </c>
      <c r="E22" s="10">
        <v>-259455000</v>
      </c>
      <c r="M22" s="36">
        <f>(-1*E98)/M101</f>
        <v>0</v>
      </c>
      <c r="N22" s="37">
        <f>E107/M101</f>
        <v>-9.817616336958105E-3</v>
      </c>
    </row>
    <row r="23" spans="1:14" ht="19" x14ac:dyDescent="0.25">
      <c r="A23" s="5" t="s">
        <v>17</v>
      </c>
      <c r="B23" s="2">
        <v>-1.9006000000000001</v>
      </c>
      <c r="C23" s="2">
        <v>-0.83819999999999995</v>
      </c>
      <c r="D23" s="2">
        <v>-0.82609999999999995</v>
      </c>
      <c r="E23" s="2">
        <v>-0.39760000000000001</v>
      </c>
    </row>
    <row r="24" spans="1:14" ht="19" x14ac:dyDescent="0.25">
      <c r="A24" s="5" t="s">
        <v>18</v>
      </c>
      <c r="B24" s="1">
        <v>2934000</v>
      </c>
      <c r="C24" s="1">
        <v>-642000</v>
      </c>
      <c r="D24" s="1">
        <v>-2000</v>
      </c>
      <c r="E24" s="1">
        <v>15620000</v>
      </c>
    </row>
    <row r="25" spans="1:14" ht="19" x14ac:dyDescent="0.25">
      <c r="A25" s="6" t="s">
        <v>19</v>
      </c>
      <c r="B25" s="10">
        <v>-224884000</v>
      </c>
      <c r="C25" s="10">
        <v>-210121000</v>
      </c>
      <c r="D25" s="10">
        <v>-353850000</v>
      </c>
      <c r="E25" s="10">
        <v>-243835000</v>
      </c>
    </row>
    <row r="26" spans="1:14" ht="19" x14ac:dyDescent="0.25">
      <c r="A26" s="5" t="s">
        <v>20</v>
      </c>
      <c r="B26" s="2">
        <v>-1.8761000000000001</v>
      </c>
      <c r="C26" s="2">
        <v>-0.84079999999999999</v>
      </c>
      <c r="D26" s="2">
        <v>-0.82609999999999995</v>
      </c>
      <c r="E26" s="2">
        <v>-0.37369999999999998</v>
      </c>
    </row>
    <row r="27" spans="1:14" ht="19" x14ac:dyDescent="0.25">
      <c r="A27" s="5" t="s">
        <v>21</v>
      </c>
      <c r="B27" s="1">
        <v>340000</v>
      </c>
      <c r="C27" s="1">
        <v>87000</v>
      </c>
      <c r="D27" s="1">
        <v>1174000</v>
      </c>
      <c r="E27" s="1">
        <v>3587000</v>
      </c>
    </row>
    <row r="28" spans="1:14" ht="20" thickBot="1" x14ac:dyDescent="0.3">
      <c r="A28" s="7" t="s">
        <v>22</v>
      </c>
      <c r="B28" s="11">
        <v>-225224000</v>
      </c>
      <c r="C28" s="11">
        <v>-210208000</v>
      </c>
      <c r="D28" s="11">
        <v>-355024000</v>
      </c>
      <c r="E28" s="11">
        <v>-247422000</v>
      </c>
      <c r="F28" s="40">
        <v>-8900000</v>
      </c>
      <c r="G28" s="40">
        <v>33200000</v>
      </c>
      <c r="H28" s="40">
        <v>85232000</v>
      </c>
      <c r="I28" s="40">
        <v>229400000</v>
      </c>
      <c r="J28" s="40">
        <v>439400000</v>
      </c>
    </row>
    <row r="29" spans="1:14" ht="20" customHeight="1" thickTop="1" x14ac:dyDescent="0.25">
      <c r="A29" s="14" t="s">
        <v>101</v>
      </c>
      <c r="B29" s="1"/>
      <c r="C29" s="15">
        <f>(C28/B28)-1</f>
        <v>-6.6671402692430659E-2</v>
      </c>
      <c r="D29" s="15">
        <f>(D28/C28)-1</f>
        <v>0.68891764347693707</v>
      </c>
      <c r="E29" s="15">
        <f>(E28/D28)-1</f>
        <v>-0.30308373518410026</v>
      </c>
      <c r="F29" s="16">
        <f t="shared" ref="F29:J29" si="5">(F28/E28)-1</f>
        <v>-0.96402906774660302</v>
      </c>
      <c r="G29" s="16">
        <f t="shared" si="5"/>
        <v>-4.7303370786516847</v>
      </c>
      <c r="H29" s="16">
        <f t="shared" si="5"/>
        <v>1.5672289156626507</v>
      </c>
      <c r="I29" s="16">
        <f t="shared" si="5"/>
        <v>1.6914773793880231</v>
      </c>
      <c r="J29" s="16">
        <f t="shared" si="5"/>
        <v>0.91543156059285091</v>
      </c>
    </row>
    <row r="30" spans="1:14" ht="19" x14ac:dyDescent="0.25">
      <c r="A30" s="5" t="s">
        <v>23</v>
      </c>
      <c r="B30" s="2">
        <v>-1.879</v>
      </c>
      <c r="C30" s="2">
        <v>-0.84119999999999995</v>
      </c>
      <c r="D30" s="2">
        <v>-0.82879999999999998</v>
      </c>
      <c r="E30" s="2">
        <v>-0.37919999999999998</v>
      </c>
      <c r="F30" s="41">
        <f t="shared" ref="F30:J30" si="6">F28/F3</f>
        <v>-1.0201742320036681E-2</v>
      </c>
      <c r="G30" s="41">
        <f t="shared" si="6"/>
        <v>2.990990990990991E-2</v>
      </c>
      <c r="H30" s="41">
        <f t="shared" si="6"/>
        <v>5.9147814018043025E-2</v>
      </c>
      <c r="I30" s="41">
        <f t="shared" si="6"/>
        <v>0.13306264501160092</v>
      </c>
      <c r="J30" s="41">
        <f t="shared" si="6"/>
        <v>0.2068738229755179</v>
      </c>
    </row>
    <row r="31" spans="1:14" ht="19" x14ac:dyDescent="0.25">
      <c r="A31" s="5" t="s">
        <v>24</v>
      </c>
      <c r="B31" s="12">
        <v>-0.48</v>
      </c>
      <c r="C31" s="12">
        <v>-0.48</v>
      </c>
      <c r="D31" s="12">
        <v>-0.71</v>
      </c>
      <c r="E31" s="12">
        <v>-0.48</v>
      </c>
      <c r="F31" s="42">
        <v>-0.02</v>
      </c>
      <c r="G31" s="42">
        <v>6.3E-2</v>
      </c>
      <c r="H31" s="42">
        <v>0.16</v>
      </c>
      <c r="I31" s="42">
        <v>0.43</v>
      </c>
      <c r="J31" s="42">
        <v>0.83</v>
      </c>
    </row>
    <row r="32" spans="1:14" ht="19" x14ac:dyDescent="0.25">
      <c r="A32" s="5" t="s">
        <v>25</v>
      </c>
      <c r="B32" s="12">
        <v>-0.48</v>
      </c>
      <c r="C32" s="12">
        <v>-0.48</v>
      </c>
      <c r="D32" s="12">
        <v>-0.71</v>
      </c>
      <c r="E32" s="12">
        <v>-0.48</v>
      </c>
    </row>
    <row r="33" spans="1:5" ht="19" x14ac:dyDescent="0.25">
      <c r="A33" s="5" t="s">
        <v>26</v>
      </c>
      <c r="B33" s="1">
        <v>465572735</v>
      </c>
      <c r="C33" s="1">
        <v>439152498</v>
      </c>
      <c r="D33" s="1">
        <v>439152498</v>
      </c>
      <c r="E33" s="1">
        <v>514279230</v>
      </c>
    </row>
    <row r="34" spans="1:5" ht="19" x14ac:dyDescent="0.25">
      <c r="A34" s="5" t="s">
        <v>27</v>
      </c>
      <c r="B34" s="1">
        <v>465572735</v>
      </c>
      <c r="C34" s="1">
        <v>439152498</v>
      </c>
      <c r="D34" s="1">
        <v>439152498</v>
      </c>
      <c r="E34" s="1">
        <v>514279230</v>
      </c>
    </row>
    <row r="35" spans="1:5" ht="20" customHeight="1" x14ac:dyDescent="0.25">
      <c r="A35" s="14" t="s">
        <v>102</v>
      </c>
      <c r="B35" s="1"/>
      <c r="C35" s="23">
        <f>(C34-B34)/B34</f>
        <v>-5.6747818361829114E-2</v>
      </c>
      <c r="D35" s="23">
        <f t="shared" ref="D35:E35" si="7">(D34-C34)/C34</f>
        <v>0</v>
      </c>
      <c r="E35" s="23">
        <f t="shared" si="7"/>
        <v>0.17107208166216556</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201069000</v>
      </c>
      <c r="C38" s="1">
        <v>399887000</v>
      </c>
      <c r="D38" s="1">
        <v>921218000</v>
      </c>
      <c r="E38" s="1">
        <v>200670000</v>
      </c>
    </row>
    <row r="39" spans="1:5" ht="19" x14ac:dyDescent="0.25">
      <c r="A39" s="5" t="s">
        <v>31</v>
      </c>
      <c r="B39" s="1" t="s">
        <v>91</v>
      </c>
      <c r="C39" s="1" t="s">
        <v>91</v>
      </c>
      <c r="D39" s="1" t="s">
        <v>91</v>
      </c>
      <c r="E39" s="1">
        <v>489192000</v>
      </c>
    </row>
    <row r="40" spans="1:5" ht="19" x14ac:dyDescent="0.25">
      <c r="A40" s="5" t="s">
        <v>32</v>
      </c>
      <c r="B40" s="1">
        <v>201069000</v>
      </c>
      <c r="C40" s="1">
        <v>399887000</v>
      </c>
      <c r="D40" s="1">
        <v>921218000</v>
      </c>
      <c r="E40" s="1">
        <v>689862000</v>
      </c>
    </row>
    <row r="41" spans="1:5" ht="19" x14ac:dyDescent="0.25">
      <c r="A41" s="5" t="s">
        <v>33</v>
      </c>
      <c r="B41" s="1">
        <v>34213000</v>
      </c>
      <c r="C41" s="1">
        <v>42248000</v>
      </c>
      <c r="D41" s="1">
        <v>81987000</v>
      </c>
      <c r="E41" s="1">
        <v>122867000</v>
      </c>
    </row>
    <row r="42" spans="1:5" ht="19" x14ac:dyDescent="0.25">
      <c r="A42" s="5" t="s">
        <v>34</v>
      </c>
      <c r="B42" s="1">
        <v>16516000</v>
      </c>
      <c r="C42" s="1">
        <v>13674000</v>
      </c>
      <c r="D42" s="1">
        <v>33067000</v>
      </c>
      <c r="E42" s="1">
        <v>40571000</v>
      </c>
    </row>
    <row r="43" spans="1:5" ht="19" x14ac:dyDescent="0.25">
      <c r="A43" s="5" t="s">
        <v>35</v>
      </c>
      <c r="B43" s="1">
        <v>25681000</v>
      </c>
      <c r="C43" s="1">
        <v>35380000</v>
      </c>
      <c r="D43" s="1">
        <v>63895000</v>
      </c>
      <c r="E43" s="1">
        <v>104235000</v>
      </c>
    </row>
    <row r="44" spans="1:5" ht="19" x14ac:dyDescent="0.25">
      <c r="A44" s="6" t="s">
        <v>36</v>
      </c>
      <c r="B44" s="10">
        <v>277479000</v>
      </c>
      <c r="C44" s="10">
        <v>491189000</v>
      </c>
      <c r="D44" s="10">
        <v>1100167000</v>
      </c>
      <c r="E44" s="10">
        <v>957535000</v>
      </c>
    </row>
    <row r="45" spans="1:5" ht="19" x14ac:dyDescent="0.25">
      <c r="A45" s="5" t="s">
        <v>37</v>
      </c>
      <c r="B45" s="1">
        <v>202227000</v>
      </c>
      <c r="C45" s="1">
        <v>190776000</v>
      </c>
      <c r="D45" s="1">
        <v>171199000</v>
      </c>
      <c r="E45" s="1">
        <v>171902000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v>113101000</v>
      </c>
    </row>
    <row r="50" spans="1:5" ht="19" x14ac:dyDescent="0.25">
      <c r="A50" s="5" t="s">
        <v>42</v>
      </c>
      <c r="B50" s="1" t="s">
        <v>91</v>
      </c>
      <c r="C50" s="1" t="s">
        <v>91</v>
      </c>
      <c r="D50" s="1" t="s">
        <v>91</v>
      </c>
      <c r="E50" s="1" t="s">
        <v>91</v>
      </c>
    </row>
    <row r="51" spans="1:5" ht="19" x14ac:dyDescent="0.25">
      <c r="A51" s="5" t="s">
        <v>43</v>
      </c>
      <c r="B51" s="1">
        <v>151304000</v>
      </c>
      <c r="C51" s="1">
        <v>204668000</v>
      </c>
      <c r="D51" s="1">
        <v>296563000</v>
      </c>
      <c r="E51" s="1">
        <v>374470000</v>
      </c>
    </row>
    <row r="52" spans="1:5" ht="19" x14ac:dyDescent="0.25">
      <c r="A52" s="5" t="s">
        <v>44</v>
      </c>
      <c r="B52" s="1">
        <v>353531000</v>
      </c>
      <c r="C52" s="1">
        <v>395444000</v>
      </c>
      <c r="D52" s="1">
        <v>467762000</v>
      </c>
      <c r="E52" s="1">
        <v>659473000</v>
      </c>
    </row>
    <row r="53" spans="1:5" ht="19" x14ac:dyDescent="0.25">
      <c r="A53" s="5" t="s">
        <v>45</v>
      </c>
      <c r="B53" s="1" t="s">
        <v>91</v>
      </c>
      <c r="C53" s="1" t="s">
        <v>91</v>
      </c>
      <c r="D53" s="1" t="s">
        <v>91</v>
      </c>
      <c r="E53" s="1" t="s">
        <v>91</v>
      </c>
    </row>
    <row r="54" spans="1:5" ht="20" thickBot="1" x14ac:dyDescent="0.3">
      <c r="A54" s="7" t="s">
        <v>46</v>
      </c>
      <c r="B54" s="11">
        <v>631010000</v>
      </c>
      <c r="C54" s="11">
        <v>886633000</v>
      </c>
      <c r="D54" s="11">
        <v>1567929000</v>
      </c>
      <c r="E54" s="11">
        <v>1617008000</v>
      </c>
    </row>
    <row r="55" spans="1:5" ht="20" thickTop="1" x14ac:dyDescent="0.25">
      <c r="A55" s="5" t="s">
        <v>47</v>
      </c>
      <c r="B55" s="1">
        <v>16467000</v>
      </c>
      <c r="C55" s="1">
        <v>19400000</v>
      </c>
      <c r="D55" s="1">
        <v>54705000</v>
      </c>
      <c r="E55" s="1">
        <v>30144000</v>
      </c>
    </row>
    <row r="56" spans="1:5" ht="19" x14ac:dyDescent="0.25">
      <c r="A56" s="5" t="s">
        <v>48</v>
      </c>
      <c r="B56" s="1">
        <v>17532000</v>
      </c>
      <c r="C56" s="1">
        <v>22313000</v>
      </c>
      <c r="D56" s="1">
        <v>21447000</v>
      </c>
      <c r="E56" s="1">
        <v>22047000</v>
      </c>
    </row>
    <row r="57" spans="1:5" ht="19" x14ac:dyDescent="0.25">
      <c r="A57" s="5" t="s">
        <v>49</v>
      </c>
      <c r="B57" s="1" t="s">
        <v>91</v>
      </c>
      <c r="C57" s="1" t="s">
        <v>91</v>
      </c>
      <c r="D57" s="1" t="s">
        <v>91</v>
      </c>
      <c r="E57" s="1" t="s">
        <v>91</v>
      </c>
    </row>
    <row r="58" spans="1:5" ht="19" x14ac:dyDescent="0.25">
      <c r="A58" s="5" t="s">
        <v>50</v>
      </c>
      <c r="B58" s="1">
        <v>94391000</v>
      </c>
      <c r="C58" s="1">
        <v>143109000</v>
      </c>
      <c r="D58" s="1">
        <v>203185000</v>
      </c>
      <c r="E58" s="1">
        <v>300113000</v>
      </c>
    </row>
    <row r="59" spans="1:5" ht="19" x14ac:dyDescent="0.25">
      <c r="A59" s="5" t="s">
        <v>51</v>
      </c>
      <c r="B59" s="1">
        <v>19861000</v>
      </c>
      <c r="C59" s="1">
        <v>27120000</v>
      </c>
      <c r="D59" s="1">
        <v>58942000</v>
      </c>
      <c r="E59" s="1">
        <v>89854000</v>
      </c>
    </row>
    <row r="60" spans="1:5" ht="19" x14ac:dyDescent="0.25">
      <c r="A60" s="6" t="s">
        <v>52</v>
      </c>
      <c r="B60" s="10">
        <v>148251000</v>
      </c>
      <c r="C60" s="10">
        <v>211942000</v>
      </c>
      <c r="D60" s="10">
        <v>338279000</v>
      </c>
      <c r="E60" s="10">
        <v>442158000</v>
      </c>
    </row>
    <row r="61" spans="1:5" ht="19" x14ac:dyDescent="0.25">
      <c r="A61" s="5" t="s">
        <v>53</v>
      </c>
      <c r="B61" s="1">
        <v>166781000</v>
      </c>
      <c r="C61" s="1">
        <v>150961000</v>
      </c>
      <c r="D61" s="1">
        <v>123513000</v>
      </c>
      <c r="E61" s="1">
        <v>100873000</v>
      </c>
    </row>
    <row r="62" spans="1:5" ht="19" x14ac:dyDescent="0.25">
      <c r="A62" s="5" t="s">
        <v>50</v>
      </c>
      <c r="B62" s="1">
        <v>116679000</v>
      </c>
      <c r="C62" s="1">
        <v>106463000</v>
      </c>
      <c r="D62" s="1">
        <v>110501000</v>
      </c>
      <c r="E62" s="1">
        <v>126452000</v>
      </c>
    </row>
    <row r="63" spans="1:5" ht="19" x14ac:dyDescent="0.25">
      <c r="A63" s="5" t="s">
        <v>54</v>
      </c>
      <c r="B63" s="1" t="s">
        <v>91</v>
      </c>
      <c r="C63" s="1" t="s">
        <v>91</v>
      </c>
      <c r="D63" s="1" t="s">
        <v>91</v>
      </c>
      <c r="E63" s="1" t="s">
        <v>91</v>
      </c>
    </row>
    <row r="64" spans="1:5" ht="19" x14ac:dyDescent="0.25">
      <c r="A64" s="5" t="s">
        <v>55</v>
      </c>
      <c r="B64" s="1">
        <v>540261000</v>
      </c>
      <c r="C64" s="1">
        <v>950070000</v>
      </c>
      <c r="D64" s="1">
        <v>6689000</v>
      </c>
      <c r="E64" s="1">
        <v>9506000</v>
      </c>
    </row>
    <row r="65" spans="1:5" ht="19" x14ac:dyDescent="0.25">
      <c r="A65" s="5" t="s">
        <v>56</v>
      </c>
      <c r="B65" s="1">
        <v>823721000</v>
      </c>
      <c r="C65" s="1">
        <v>1207494000</v>
      </c>
      <c r="D65" s="1">
        <v>240703000</v>
      </c>
      <c r="E65" s="1">
        <v>236831000</v>
      </c>
    </row>
    <row r="66" spans="1:5" ht="19" x14ac:dyDescent="0.25">
      <c r="A66" s="5" t="s">
        <v>57</v>
      </c>
      <c r="B66" s="1" t="s">
        <v>91</v>
      </c>
      <c r="C66" s="1" t="s">
        <v>91</v>
      </c>
      <c r="D66" s="1" t="s">
        <v>91</v>
      </c>
      <c r="E66" s="1" t="s">
        <v>91</v>
      </c>
    </row>
    <row r="67" spans="1:5" ht="19" x14ac:dyDescent="0.25">
      <c r="A67" s="6" t="s">
        <v>58</v>
      </c>
      <c r="B67" s="10">
        <v>971972000</v>
      </c>
      <c r="C67" s="10">
        <v>1419436000</v>
      </c>
      <c r="D67" s="10">
        <v>578982000</v>
      </c>
      <c r="E67" s="10">
        <v>678989000</v>
      </c>
    </row>
    <row r="68" spans="1:5" ht="19" x14ac:dyDescent="0.25">
      <c r="A68" s="5" t="s">
        <v>59</v>
      </c>
      <c r="B68" s="1" t="s">
        <v>91</v>
      </c>
      <c r="C68" s="1">
        <v>1000</v>
      </c>
      <c r="D68" s="1">
        <v>29000</v>
      </c>
      <c r="E68" s="1">
        <v>30000</v>
      </c>
    </row>
    <row r="69" spans="1:5" ht="19" x14ac:dyDescent="0.25">
      <c r="A69" s="5" t="s">
        <v>60</v>
      </c>
      <c r="B69" s="1">
        <v>-346094000</v>
      </c>
      <c r="C69" s="1">
        <v>-565926000</v>
      </c>
      <c r="D69" s="1">
        <v>-920950000</v>
      </c>
      <c r="E69" s="1">
        <v>-1168372000</v>
      </c>
    </row>
    <row r="70" spans="1:5" ht="19" x14ac:dyDescent="0.25">
      <c r="A70" s="5" t="s">
        <v>61</v>
      </c>
      <c r="B70" s="1" t="s">
        <v>91</v>
      </c>
      <c r="C70" s="1" t="s">
        <v>91</v>
      </c>
      <c r="D70" s="1">
        <v>-96000</v>
      </c>
      <c r="E70" s="1">
        <v>-652000</v>
      </c>
    </row>
    <row r="71" spans="1:5" ht="19" x14ac:dyDescent="0.25">
      <c r="A71" s="5" t="s">
        <v>62</v>
      </c>
      <c r="B71" s="1">
        <v>-534485000</v>
      </c>
      <c r="C71" s="1">
        <v>-915945000</v>
      </c>
      <c r="D71" s="1">
        <v>1909964000</v>
      </c>
      <c r="E71" s="1">
        <v>2107013000</v>
      </c>
    </row>
    <row r="72" spans="1:5" ht="19" x14ac:dyDescent="0.25">
      <c r="A72" s="6" t="s">
        <v>63</v>
      </c>
      <c r="B72" s="10">
        <v>-340962000</v>
      </c>
      <c r="C72" s="10">
        <v>-532803000</v>
      </c>
      <c r="D72" s="10">
        <v>988947000</v>
      </c>
      <c r="E72" s="10">
        <v>938019000</v>
      </c>
    </row>
    <row r="73" spans="1:5" ht="20" thickBot="1" x14ac:dyDescent="0.3">
      <c r="A73" s="7" t="s">
        <v>64</v>
      </c>
      <c r="B73" s="11">
        <v>631010000</v>
      </c>
      <c r="C73" s="11">
        <v>886633000</v>
      </c>
      <c r="D73" s="11">
        <v>1567929000</v>
      </c>
      <c r="E73" s="11">
        <v>1617008000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-225224000</v>
      </c>
      <c r="C76" s="1">
        <v>-210208000</v>
      </c>
      <c r="D76" s="1">
        <v>-355024000</v>
      </c>
      <c r="E76" s="1">
        <v>-247422000</v>
      </c>
    </row>
    <row r="77" spans="1:5" ht="19" x14ac:dyDescent="0.25">
      <c r="A77" s="5" t="s">
        <v>13</v>
      </c>
      <c r="B77" s="1">
        <v>4320000</v>
      </c>
      <c r="C77" s="1">
        <v>10738000</v>
      </c>
      <c r="D77" s="1">
        <v>10388000</v>
      </c>
      <c r="E77" s="1">
        <v>11768000</v>
      </c>
    </row>
    <row r="78" spans="1:5" ht="19" x14ac:dyDescent="0.25">
      <c r="A78" s="5" t="s">
        <v>67</v>
      </c>
      <c r="B78" s="1" t="s">
        <v>91</v>
      </c>
      <c r="C78" s="1" t="s">
        <v>91</v>
      </c>
      <c r="D78" s="1" t="s">
        <v>91</v>
      </c>
      <c r="E78" s="1" t="s">
        <v>91</v>
      </c>
    </row>
    <row r="79" spans="1:5" ht="19" x14ac:dyDescent="0.25">
      <c r="A79" s="5" t="s">
        <v>68</v>
      </c>
      <c r="B79" s="1">
        <v>2868000</v>
      </c>
      <c r="C79" s="1">
        <v>25564000</v>
      </c>
      <c r="D79" s="1">
        <v>228723000</v>
      </c>
      <c r="E79" s="1">
        <v>177473000</v>
      </c>
    </row>
    <row r="80" spans="1:5" ht="19" x14ac:dyDescent="0.25">
      <c r="A80" s="14" t="s">
        <v>103</v>
      </c>
      <c r="B80" s="15">
        <f t="shared" ref="B80:E80" si="8">B79/B3</f>
        <v>2.392691778250532E-2</v>
      </c>
      <c r="C80" s="15">
        <f t="shared" si="8"/>
        <v>0.10229487205137952</v>
      </c>
      <c r="D80" s="15">
        <f t="shared" si="8"/>
        <v>0.5339691136817285</v>
      </c>
      <c r="E80" s="15">
        <f t="shared" si="8"/>
        <v>0.27197051544337936</v>
      </c>
    </row>
    <row r="81" spans="1:13" ht="19" x14ac:dyDescent="0.25">
      <c r="A81" s="5" t="s">
        <v>69</v>
      </c>
      <c r="B81" s="1">
        <v>13899000</v>
      </c>
      <c r="C81" s="1">
        <v>-14649000</v>
      </c>
      <c r="D81" s="1">
        <v>-63730000</v>
      </c>
      <c r="E81" s="1">
        <v>-44840000</v>
      </c>
    </row>
    <row r="82" spans="1:13" ht="19" x14ac:dyDescent="0.25">
      <c r="A82" s="5" t="s">
        <v>70</v>
      </c>
      <c r="B82" s="1">
        <v>-10911000</v>
      </c>
      <c r="C82" s="1">
        <v>-14140000</v>
      </c>
      <c r="D82" s="1">
        <v>-47049000</v>
      </c>
      <c r="E82" s="1">
        <v>-47464000</v>
      </c>
    </row>
    <row r="83" spans="1:13" ht="21" x14ac:dyDescent="0.25">
      <c r="A83" s="5" t="s">
        <v>34</v>
      </c>
      <c r="B83" s="1">
        <v>-7620000</v>
      </c>
      <c r="C83" s="1">
        <v>2843000</v>
      </c>
      <c r="D83" s="1">
        <v>-19393000</v>
      </c>
      <c r="E83" s="1">
        <v>-7504000</v>
      </c>
      <c r="L83" s="43" t="s">
        <v>124</v>
      </c>
      <c r="M83" s="44"/>
    </row>
    <row r="84" spans="1:13" ht="19" x14ac:dyDescent="0.25">
      <c r="A84" s="5" t="s">
        <v>47</v>
      </c>
      <c r="B84" s="1">
        <v>11560000</v>
      </c>
      <c r="C84" s="1">
        <v>16250000</v>
      </c>
      <c r="D84" s="1">
        <v>69926000</v>
      </c>
      <c r="E84" s="1">
        <v>13485000</v>
      </c>
      <c r="L84" s="45" t="s">
        <v>125</v>
      </c>
      <c r="M84" s="45"/>
    </row>
    <row r="85" spans="1:13" ht="20" x14ac:dyDescent="0.25">
      <c r="A85" s="5" t="s">
        <v>71</v>
      </c>
      <c r="B85" s="1">
        <v>20736000</v>
      </c>
      <c r="C85" s="1">
        <v>-30351000</v>
      </c>
      <c r="D85" s="1">
        <v>-53113000</v>
      </c>
      <c r="E85" s="1" t="s">
        <v>91</v>
      </c>
      <c r="L85" s="46" t="s">
        <v>126</v>
      </c>
      <c r="M85" s="47">
        <f>E17</f>
        <v>15620000</v>
      </c>
    </row>
    <row r="86" spans="1:13" ht="20" x14ac:dyDescent="0.25">
      <c r="A86" s="5" t="s">
        <v>72</v>
      </c>
      <c r="B86" s="1">
        <v>11612000</v>
      </c>
      <c r="C86" s="1">
        <v>16786000</v>
      </c>
      <c r="D86" s="1">
        <v>8162000</v>
      </c>
      <c r="E86" s="1" t="s">
        <v>91</v>
      </c>
      <c r="L86" s="46" t="s">
        <v>127</v>
      </c>
      <c r="M86" s="47">
        <f>E56</f>
        <v>22047000</v>
      </c>
    </row>
    <row r="87" spans="1:13" ht="20" x14ac:dyDescent="0.25">
      <c r="A87" s="6" t="s">
        <v>73</v>
      </c>
      <c r="B87" s="10">
        <v>-192525000</v>
      </c>
      <c r="C87" s="10">
        <v>-171769000</v>
      </c>
      <c r="D87" s="10">
        <v>-171481000</v>
      </c>
      <c r="E87" s="10">
        <v>-103021000</v>
      </c>
      <c r="L87" s="46" t="s">
        <v>128</v>
      </c>
      <c r="M87" s="47">
        <f>E61</f>
        <v>100873000</v>
      </c>
    </row>
    <row r="88" spans="1:13" ht="20" x14ac:dyDescent="0.25">
      <c r="A88" s="5" t="s">
        <v>74</v>
      </c>
      <c r="B88" s="1">
        <v>-29990000</v>
      </c>
      <c r="C88" s="1">
        <v>-32102000</v>
      </c>
      <c r="D88" s="1">
        <v>-19353000</v>
      </c>
      <c r="E88" s="1">
        <v>-33240000</v>
      </c>
      <c r="L88" s="48" t="s">
        <v>129</v>
      </c>
      <c r="M88" s="49">
        <f>M85/(M86+M87)</f>
        <v>0.12707452001301658</v>
      </c>
    </row>
    <row r="89" spans="1:13" ht="20" customHeight="1" x14ac:dyDescent="0.25">
      <c r="A89" s="14" t="s">
        <v>104</v>
      </c>
      <c r="B89" s="15">
        <f t="shared" ref="B89:E89" si="9">(-1*B88)/B3</f>
        <v>0.25019813957368708</v>
      </c>
      <c r="C89" s="15">
        <f t="shared" si="9"/>
        <v>0.12845681358916389</v>
      </c>
      <c r="D89" s="15">
        <f t="shared" si="9"/>
        <v>4.5180870559945838E-2</v>
      </c>
      <c r="E89" s="15">
        <f t="shared" si="9"/>
        <v>5.0939015700066662E-2</v>
      </c>
      <c r="L89" s="46" t="s">
        <v>105</v>
      </c>
      <c r="M89" s="47">
        <f>E27</f>
        <v>3587000</v>
      </c>
    </row>
    <row r="90" spans="1:13" ht="20" x14ac:dyDescent="0.25">
      <c r="A90" s="5" t="s">
        <v>75</v>
      </c>
      <c r="B90" s="1" t="s">
        <v>91</v>
      </c>
      <c r="C90" s="1" t="s">
        <v>91</v>
      </c>
      <c r="D90" s="1" t="s">
        <v>91</v>
      </c>
      <c r="E90" s="1" t="s">
        <v>91</v>
      </c>
      <c r="L90" s="46" t="s">
        <v>19</v>
      </c>
      <c r="M90" s="47">
        <f>E25</f>
        <v>-243835000</v>
      </c>
    </row>
    <row r="91" spans="1:13" ht="20" x14ac:dyDescent="0.25">
      <c r="A91" s="5" t="s">
        <v>76</v>
      </c>
      <c r="B91" s="1" t="s">
        <v>91</v>
      </c>
      <c r="C91" s="1" t="s">
        <v>91</v>
      </c>
      <c r="D91" s="1" t="s">
        <v>91</v>
      </c>
      <c r="E91" s="1">
        <v>-685615000</v>
      </c>
      <c r="L91" s="48" t="s">
        <v>130</v>
      </c>
      <c r="M91" s="49">
        <f>M89/M90</f>
        <v>-1.4710767527221277E-2</v>
      </c>
    </row>
    <row r="92" spans="1:13" ht="20" x14ac:dyDescent="0.25">
      <c r="A92" s="5" t="s">
        <v>77</v>
      </c>
      <c r="B92" s="1" t="s">
        <v>91</v>
      </c>
      <c r="C92" s="1" t="s">
        <v>91</v>
      </c>
      <c r="D92" s="1" t="s">
        <v>91</v>
      </c>
      <c r="E92" s="1">
        <v>86625000</v>
      </c>
      <c r="L92" s="48" t="s">
        <v>131</v>
      </c>
      <c r="M92" s="49">
        <f>M88*(1-M91)</f>
        <v>0.12894388373556132</v>
      </c>
    </row>
    <row r="93" spans="1:13" ht="19" x14ac:dyDescent="0.25">
      <c r="A93" s="5" t="s">
        <v>78</v>
      </c>
      <c r="B93" s="1" t="s">
        <v>91</v>
      </c>
      <c r="C93" s="1">
        <v>-100000</v>
      </c>
      <c r="D93" s="1">
        <v>-682000</v>
      </c>
      <c r="E93" s="1">
        <v>382000</v>
      </c>
      <c r="L93" s="45" t="s">
        <v>132</v>
      </c>
      <c r="M93" s="45"/>
    </row>
    <row r="94" spans="1:13" ht="20" x14ac:dyDescent="0.25">
      <c r="A94" s="6" t="s">
        <v>79</v>
      </c>
      <c r="B94" s="10">
        <v>-29990000</v>
      </c>
      <c r="C94" s="10">
        <v>-32202000</v>
      </c>
      <c r="D94" s="10">
        <v>-20035000</v>
      </c>
      <c r="E94" s="10">
        <v>-631848000</v>
      </c>
      <c r="L94" s="46" t="s">
        <v>133</v>
      </c>
      <c r="M94" s="68">
        <f>[1]Treasuries!$C$8</f>
        <v>4.0410000000000001E-2</v>
      </c>
    </row>
    <row r="95" spans="1:13" ht="20" x14ac:dyDescent="0.25">
      <c r="A95" s="5" t="s">
        <v>80</v>
      </c>
      <c r="B95" s="1" t="s">
        <v>91</v>
      </c>
      <c r="C95" s="1">
        <v>-168000</v>
      </c>
      <c r="D95" s="1">
        <v>-545000</v>
      </c>
      <c r="E95" s="1">
        <v>-1303000</v>
      </c>
      <c r="L95" s="46" t="s">
        <v>134</v>
      </c>
      <c r="M95" s="51" cm="1">
        <f t="array" ref="M95">_FV(A1,"Beta")</f>
        <v>1.5609999999999999</v>
      </c>
    </row>
    <row r="96" spans="1:13" ht="20" x14ac:dyDescent="0.25">
      <c r="A96" s="5" t="s">
        <v>81</v>
      </c>
      <c r="B96" s="1" t="s">
        <v>91</v>
      </c>
      <c r="C96" s="1" t="s">
        <v>91</v>
      </c>
      <c r="D96" s="1">
        <v>846682000</v>
      </c>
      <c r="E96" s="1">
        <v>18047000</v>
      </c>
      <c r="L96" s="46" t="s">
        <v>135</v>
      </c>
      <c r="M96" s="50">
        <v>8.4000000000000005E-2</v>
      </c>
    </row>
    <row r="97" spans="1:13" ht="20" x14ac:dyDescent="0.25">
      <c r="A97" s="5" t="s">
        <v>82</v>
      </c>
      <c r="B97" s="1">
        <v>-30000</v>
      </c>
      <c r="C97" s="1">
        <v>-61000</v>
      </c>
      <c r="D97" s="1">
        <v>-5000</v>
      </c>
      <c r="E97" s="1" t="s">
        <v>91</v>
      </c>
      <c r="L97" s="48" t="s">
        <v>136</v>
      </c>
      <c r="M97" s="49">
        <f>(M94)+((M95)*(M96-M94))</f>
        <v>0.10845399</v>
      </c>
    </row>
    <row r="98" spans="1:13" ht="19" x14ac:dyDescent="0.25">
      <c r="A98" s="5" t="s">
        <v>83</v>
      </c>
      <c r="B98" s="1" t="s">
        <v>91</v>
      </c>
      <c r="C98" s="1" t="s">
        <v>91</v>
      </c>
      <c r="D98" s="1" t="s">
        <v>91</v>
      </c>
      <c r="E98" s="1">
        <v>0</v>
      </c>
      <c r="L98" s="45" t="s">
        <v>137</v>
      </c>
      <c r="M98" s="45"/>
    </row>
    <row r="99" spans="1:13" ht="20" x14ac:dyDescent="0.25">
      <c r="A99" s="5" t="s">
        <v>84</v>
      </c>
      <c r="B99" s="1">
        <v>295883000</v>
      </c>
      <c r="C99" s="1">
        <v>402203000</v>
      </c>
      <c r="D99" s="1">
        <v>-144488000</v>
      </c>
      <c r="E99" s="1">
        <v>-2532000</v>
      </c>
      <c r="L99" s="46" t="s">
        <v>138</v>
      </c>
      <c r="M99" s="47">
        <f>M86+M87</f>
        <v>122920000</v>
      </c>
    </row>
    <row r="100" spans="1:13" ht="20" x14ac:dyDescent="0.25">
      <c r="A100" s="6" t="s">
        <v>85</v>
      </c>
      <c r="B100" s="10">
        <v>295853000</v>
      </c>
      <c r="C100" s="10">
        <v>401974000</v>
      </c>
      <c r="D100" s="10">
        <v>701644000</v>
      </c>
      <c r="E100" s="10">
        <v>14212000</v>
      </c>
      <c r="L100" s="48" t="s">
        <v>139</v>
      </c>
      <c r="M100" s="49">
        <f>M99/M103</f>
        <v>8.7786489884943402E-3</v>
      </c>
    </row>
    <row r="101" spans="1:13" ht="20" x14ac:dyDescent="0.25">
      <c r="A101" s="5" t="s">
        <v>86</v>
      </c>
      <c r="B101" s="1" t="s">
        <v>91</v>
      </c>
      <c r="C101" s="1" t="s">
        <v>91</v>
      </c>
      <c r="D101" s="1">
        <v>-127000</v>
      </c>
      <c r="E101" s="1">
        <v>113000</v>
      </c>
      <c r="L101" s="46" t="s">
        <v>140</v>
      </c>
      <c r="M101" s="52" cm="1">
        <f t="array" ref="M101">_FV(A1,"Market cap",TRUE)</f>
        <v>13879234564</v>
      </c>
    </row>
    <row r="102" spans="1:13" ht="20" x14ac:dyDescent="0.25">
      <c r="A102" s="6" t="s">
        <v>87</v>
      </c>
      <c r="B102" s="10">
        <v>73338000</v>
      </c>
      <c r="C102" s="10">
        <v>198003000</v>
      </c>
      <c r="D102" s="10">
        <v>510001000</v>
      </c>
      <c r="E102" s="10">
        <v>-720544000</v>
      </c>
      <c r="L102" s="48" t="s">
        <v>141</v>
      </c>
      <c r="M102" s="49">
        <f>M101/M103</f>
        <v>0.99122135101150566</v>
      </c>
    </row>
    <row r="103" spans="1:13" ht="20" x14ac:dyDescent="0.25">
      <c r="A103" s="5" t="s">
        <v>88</v>
      </c>
      <c r="B103" s="1">
        <v>162968000</v>
      </c>
      <c r="C103" s="1">
        <v>236306000</v>
      </c>
      <c r="D103" s="1">
        <v>434309000</v>
      </c>
      <c r="E103" s="1">
        <v>944310000</v>
      </c>
      <c r="L103" s="48" t="s">
        <v>142</v>
      </c>
      <c r="M103" s="53">
        <f>M99+M101</f>
        <v>14002154564</v>
      </c>
    </row>
    <row r="104" spans="1:13" ht="20" thickBot="1" x14ac:dyDescent="0.3">
      <c r="A104" s="7" t="s">
        <v>89</v>
      </c>
      <c r="B104" s="11">
        <v>236306000</v>
      </c>
      <c r="C104" s="11">
        <v>434309000</v>
      </c>
      <c r="D104" s="11">
        <v>944310000</v>
      </c>
      <c r="E104" s="11">
        <v>223766000</v>
      </c>
      <c r="L104" s="45" t="s">
        <v>143</v>
      </c>
      <c r="M104" s="45"/>
    </row>
    <row r="105" spans="1:13" ht="21" thickTop="1" x14ac:dyDescent="0.25">
      <c r="A105" s="14" t="s">
        <v>158</v>
      </c>
      <c r="B105" s="1">
        <f t="shared" ref="B105:D105" si="10">(B22*(1-0.2))+B77+B88+B81</f>
        <v>-194025400</v>
      </c>
      <c r="C105" s="1">
        <f t="shared" si="10"/>
        <v>-203596200</v>
      </c>
      <c r="D105" s="1">
        <f t="shared" si="10"/>
        <v>-355773400</v>
      </c>
      <c r="E105" s="1">
        <f>(E22*(1-0.2))+E77+E88+E81</f>
        <v>-273876000</v>
      </c>
      <c r="F105" s="28">
        <f>E105*(1+$M$106)</f>
        <v>-347049071.14410424</v>
      </c>
      <c r="G105" s="28">
        <f t="shared" ref="G105:J105" si="11">F105*(1+$M$106)</f>
        <v>-439772224.5906378</v>
      </c>
      <c r="H105" s="28">
        <f t="shared" si="11"/>
        <v>-557268771.48474944</v>
      </c>
      <c r="I105" s="28">
        <f t="shared" si="11"/>
        <v>-706157565.91084421</v>
      </c>
      <c r="J105" s="28">
        <f t="shared" si="11"/>
        <v>-894825860.35556257</v>
      </c>
      <c r="K105" s="29" t="s">
        <v>160</v>
      </c>
      <c r="L105" s="54" t="s">
        <v>107</v>
      </c>
      <c r="M105" s="55">
        <f>(M100*M92)+(M102*M97)</f>
        <v>0.10863386358491604</v>
      </c>
    </row>
    <row r="106" spans="1:13" ht="19" x14ac:dyDescent="0.25">
      <c r="A106" s="14" t="s">
        <v>106</v>
      </c>
      <c r="B106" s="1"/>
      <c r="C106" s="15">
        <f>(C107/B107)-1</f>
        <v>-8.3787609824056752E-2</v>
      </c>
      <c r="D106" s="15">
        <f>(D107/C107)-1</f>
        <v>-6.3947300008338592E-2</v>
      </c>
      <c r="E106" s="15">
        <f>(E107/D107)-1</f>
        <v>-0.28597105337623274</v>
      </c>
      <c r="F106" s="31">
        <v>2289000</v>
      </c>
      <c r="G106" s="31">
        <v>40897000</v>
      </c>
      <c r="H106" s="31">
        <v>82915000</v>
      </c>
      <c r="I106" s="31">
        <v>148500000</v>
      </c>
      <c r="J106" s="31">
        <v>259900000</v>
      </c>
      <c r="K106" s="29" t="s">
        <v>161</v>
      </c>
      <c r="L106" s="56" t="s">
        <v>144</v>
      </c>
      <c r="M106" s="57">
        <f>(SUM(F4:J4)/5)</f>
        <v>0.26717591590392809</v>
      </c>
    </row>
    <row r="107" spans="1:13" ht="19" x14ac:dyDescent="0.25">
      <c r="A107" s="33" t="s">
        <v>159</v>
      </c>
      <c r="B107" s="1">
        <v>-222515000</v>
      </c>
      <c r="C107" s="1">
        <v>-203871000</v>
      </c>
      <c r="D107" s="1">
        <v>-190834000</v>
      </c>
      <c r="E107" s="1">
        <v>-136261000</v>
      </c>
      <c r="F107" s="29"/>
      <c r="G107" s="29"/>
      <c r="H107" s="29"/>
      <c r="I107" s="29"/>
      <c r="J107" s="32">
        <f>J106*(1+M107)/(M108-M107)</f>
        <v>3185282714.2144208</v>
      </c>
      <c r="K107" s="30" t="s">
        <v>145</v>
      </c>
      <c r="L107" s="58" t="s">
        <v>146</v>
      </c>
      <c r="M107" s="59">
        <v>2.5000000000000001E-2</v>
      </c>
    </row>
    <row r="108" spans="1:13" ht="19" x14ac:dyDescent="0.25">
      <c r="F108" s="32">
        <f t="shared" ref="F108:I108" si="12">F107+F106</f>
        <v>2289000</v>
      </c>
      <c r="G108" s="32">
        <f t="shared" si="12"/>
        <v>40897000</v>
      </c>
      <c r="H108" s="32">
        <f t="shared" si="12"/>
        <v>82915000</v>
      </c>
      <c r="I108" s="32">
        <f t="shared" si="12"/>
        <v>148500000</v>
      </c>
      <c r="J108" s="32">
        <f>J107+J106</f>
        <v>3445182714.2144208</v>
      </c>
      <c r="K108" s="30" t="s">
        <v>142</v>
      </c>
      <c r="L108" s="60" t="s">
        <v>147</v>
      </c>
      <c r="M108" s="57">
        <f>M105</f>
        <v>0.10863386358491604</v>
      </c>
    </row>
    <row r="109" spans="1:13" ht="19" x14ac:dyDescent="0.25">
      <c r="F109" s="61" t="s">
        <v>148</v>
      </c>
      <c r="G109" s="61"/>
    </row>
    <row r="110" spans="1:13" ht="20" x14ac:dyDescent="0.25">
      <c r="F110" s="62" t="s">
        <v>149</v>
      </c>
      <c r="G110" s="52">
        <f>NPV(M108,F108,G108,H108,I108,J108)</f>
        <v>2251671749.4206734</v>
      </c>
    </row>
    <row r="111" spans="1:13" ht="20" x14ac:dyDescent="0.25">
      <c r="F111" s="62" t="s">
        <v>150</v>
      </c>
      <c r="G111" s="52">
        <f>E40</f>
        <v>689862000</v>
      </c>
    </row>
    <row r="112" spans="1:13" ht="20" x14ac:dyDescent="0.25">
      <c r="F112" s="62" t="s">
        <v>138</v>
      </c>
      <c r="G112" s="52">
        <f>M99</f>
        <v>122920000</v>
      </c>
    </row>
    <row r="113" spans="6:7" ht="20" x14ac:dyDescent="0.25">
      <c r="F113" s="62" t="s">
        <v>151</v>
      </c>
      <c r="G113" s="52">
        <f>G110+G111-G112</f>
        <v>2818613749.4206734</v>
      </c>
    </row>
    <row r="114" spans="6:7" ht="20" x14ac:dyDescent="0.25">
      <c r="F114" s="62" t="s">
        <v>157</v>
      </c>
      <c r="G114" s="62" cm="1">
        <f t="array" ref="G114">_FV(A1,"Shares outstanding",TRUE)</f>
        <v>528531400</v>
      </c>
    </row>
    <row r="115" spans="6:7" ht="20" x14ac:dyDescent="0.25">
      <c r="F115" s="63" t="s">
        <v>152</v>
      </c>
      <c r="G115" s="64">
        <f>G113/G114</f>
        <v>5.3329163592185314</v>
      </c>
    </row>
    <row r="116" spans="6:7" ht="20" x14ac:dyDescent="0.25">
      <c r="F116" s="62" t="s">
        <v>153</v>
      </c>
      <c r="G116" s="65" cm="1">
        <f t="array" ref="G116">_FV(A1,"Price")</f>
        <v>26.26</v>
      </c>
    </row>
    <row r="117" spans="6:7" ht="20" x14ac:dyDescent="0.25">
      <c r="F117" s="63" t="s">
        <v>154</v>
      </c>
      <c r="G117" s="66">
        <f>G115/G116-1</f>
        <v>-0.79691864587895922</v>
      </c>
    </row>
    <row r="118" spans="6:7" ht="20" x14ac:dyDescent="0.25">
      <c r="F118" s="63" t="s">
        <v>155</v>
      </c>
      <c r="G118" s="67" t="str">
        <f>IF(G115&gt;G116,"BUY","SELL")</f>
        <v>SELL</v>
      </c>
    </row>
  </sheetData>
  <mergeCells count="6">
    <mergeCell ref="F109:G109"/>
    <mergeCell ref="L83:M83"/>
    <mergeCell ref="L84:M84"/>
    <mergeCell ref="L93:M93"/>
    <mergeCell ref="L98:M98"/>
    <mergeCell ref="L104:M104"/>
  </mergeCells>
  <hyperlinks>
    <hyperlink ref="A1" r:id="rId1" tooltip="https://roic.ai/company/IOT" display="ROIC.AI | IO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2896/000164289622000016/0001642896-22-000016-index.htm" xr:uid="{00000000-0004-0000-0000-000007000000}"/>
    <hyperlink ref="D74" r:id="rId7" tooltip="https://www.sec.gov/Archives/edgar/data/1642896/000164289622000016/0001642896-22-000016-index.htm" xr:uid="{00000000-0004-0000-0000-000008000000}"/>
    <hyperlink ref="E36" r:id="rId8" tooltip="https://sec.gov" xr:uid="{00000000-0004-0000-0000-00000A000000}"/>
    <hyperlink ref="E74" r:id="rId9" tooltip="https://sec.gov" xr:uid="{00000000-0004-0000-0000-00000B000000}"/>
    <hyperlink ref="F1" r:id="rId10" display="https://finbox.com/NYSE:IOT/explorer/revenue_proj" xr:uid="{4C602DA0-A842-9945-8E2D-30787878B968}"/>
    <hyperlink ref="K106" r:id="rId11" xr:uid="{DB8CC5C6-0695-854E-91B1-273667424509}"/>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2023-03-14T04:23:35Z</dcterms:created>
  <dcterms:modified xsi:type="dcterms:W3CDTF">2023-07-08T09:14:00Z</dcterms:modified>
</cp:coreProperties>
</file>