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A99FA17C-34EF-BB4A-A2A4-8E8985D5B67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c r="F108" i="1"/>
  <c r="G108" i="1"/>
  <c r="H108" i="1"/>
  <c r="I108" i="1"/>
  <c r="F105" i="1"/>
  <c r="G105" i="1" s="1"/>
  <c r="H105" i="1" s="1"/>
  <c r="I105" i="1" s="1"/>
  <c r="J105" i="1" s="1"/>
  <c r="C105" i="1"/>
  <c r="D105" i="1"/>
  <c r="E105" i="1"/>
  <c r="F30" i="1"/>
  <c r="G30" i="1"/>
  <c r="H30" i="1"/>
  <c r="I30" i="1"/>
  <c r="J30" i="1"/>
  <c r="F21" i="1"/>
  <c r="G21" i="1"/>
  <c r="H21" i="1"/>
  <c r="I21" i="1"/>
  <c r="J21" i="1"/>
  <c r="L4" i="1"/>
  <c r="M4" i="1"/>
  <c r="K4" i="1"/>
  <c r="F20" i="1"/>
  <c r="G20" i="1"/>
  <c r="H20" i="1"/>
  <c r="I20" i="1"/>
  <c r="J20" i="1"/>
  <c r="F29" i="1"/>
  <c r="G29" i="1"/>
  <c r="H29" i="1"/>
  <c r="I29" i="1"/>
  <c r="J29" i="1"/>
  <c r="G116" i="1" a="1"/>
  <c r="G116" i="1" s="1"/>
  <c r="M101" i="1" a="1"/>
  <c r="M101" i="1" s="1"/>
  <c r="M19" i="1" s="1"/>
  <c r="M95" i="1" a="1"/>
  <c r="M95" i="1" s="1"/>
  <c r="M86" i="1"/>
  <c r="G111" i="1"/>
  <c r="M90" i="1"/>
  <c r="M89" i="1"/>
  <c r="M91" i="1" s="1"/>
  <c r="M87" i="1"/>
  <c r="M99" i="1" s="1"/>
  <c r="M85" i="1"/>
  <c r="M22" i="1" l="1"/>
  <c r="N19" i="1"/>
  <c r="N22" i="1"/>
  <c r="L19" i="1"/>
  <c r="G112" i="1"/>
  <c r="M103" i="1"/>
  <c r="M100" i="1" s="1"/>
  <c r="M92" i="1"/>
  <c r="M102" i="1" l="1"/>
  <c r="K16" i="1" l="1"/>
  <c r="H4" i="1"/>
  <c r="I4" i="1"/>
  <c r="J4" i="1"/>
  <c r="E7" i="1"/>
  <c r="K7" i="1" s="1"/>
  <c r="K19" i="1"/>
  <c r="N16" i="1"/>
  <c r="M16" i="1"/>
  <c r="L16" i="1"/>
  <c r="N13" i="1"/>
  <c r="M13" i="1"/>
  <c r="L13" i="1"/>
  <c r="K13" i="1"/>
  <c r="N10" i="1"/>
  <c r="M10" i="1"/>
  <c r="L10" i="1"/>
  <c r="K10" i="1"/>
  <c r="N7" i="1"/>
  <c r="M7" i="1"/>
  <c r="L7" i="1"/>
  <c r="G4" i="1"/>
  <c r="F4" i="1"/>
  <c r="E106" i="1"/>
  <c r="D106" i="1"/>
  <c r="E89" i="1"/>
  <c r="D89" i="1"/>
  <c r="C89" i="1"/>
  <c r="B89" i="1"/>
  <c r="E80" i="1"/>
  <c r="D80" i="1"/>
  <c r="C80" i="1"/>
  <c r="B80" i="1"/>
  <c r="E35" i="1"/>
  <c r="D35" i="1"/>
  <c r="C35" i="1"/>
  <c r="E29" i="1"/>
  <c r="D29" i="1"/>
  <c r="E20" i="1"/>
  <c r="D20" i="1"/>
  <c r="D13" i="1"/>
  <c r="C13" i="1"/>
  <c r="B13" i="1"/>
  <c r="E9" i="1"/>
  <c r="D9" i="1"/>
  <c r="C9" i="1"/>
  <c r="B9" i="1"/>
  <c r="E4" i="1"/>
  <c r="D4" i="1"/>
  <c r="N4" i="1" l="1"/>
  <c r="M106" i="1"/>
  <c r="E18" i="1"/>
  <c r="E40" i="1"/>
  <c r="E30" i="1"/>
  <c r="E26" i="1"/>
  <c r="E23" i="1"/>
  <c r="E21" i="1"/>
  <c r="E16" i="1"/>
  <c r="E12" i="1"/>
  <c r="E13" i="1" s="1"/>
  <c r="M94" i="1" l="1"/>
  <c r="M97" i="1" s="1"/>
  <c r="M105" i="1" s="1"/>
  <c r="M108" i="1" s="1"/>
  <c r="J107" i="1" l="1"/>
  <c r="J108" i="1" s="1"/>
  <c r="G110" i="1" s="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<sst xmlns="http://schemas.openxmlformats.org/spreadsheetml/2006/main" count="328" uniqueCount="167">
  <si>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</si>
  <si>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</si>
  <si>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</si>
  <si>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</si>
  <si>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</si>
  <si>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</si>
  <si>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</si>
  <si>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</si>
  <si>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</si>
  <si>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</si>
  <si>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</si>
  <si>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</si>
  <si>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</si>
  <si>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</si>
  <si>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</si>
  <si>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</si>
  <si>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</si>
  <si>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</si>
  <si>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</si>
  <si>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</si>
  <si>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</si>
  <si>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</si>
  <si>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</si>
  <si>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</si>
  <si>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</si>
  <si>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</si>
  <si>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</si>
  <si>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</si>
  <si>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</si>
  <si>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</si>
  <si>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</si>
  <si>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</si>
  <si>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</si>
  <si>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</si>
  <si>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</si>
  <si>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</si>
  <si>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</si>
  <si>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</si>
  <si>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</si>
  <si>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</si>
  <si>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</si>
  <si>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</si>
  <si>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</si>
  <si>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</si>
  <si>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</si>
  <si>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</si>
  <si>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</si>
  <si>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</si>
  <si>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</si>
  <si>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</si>
  <si>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</si>
  <si>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</si>
  <si>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</si>
  <si>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</si>
  <si>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</si>
  <si>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</si>
  <si>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</si>
  <si>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</si>
  <si>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</si>
  <si>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</si>
  <si>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</si>
  <si>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</si>
  <si>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</si>
  <si>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</si>
  <si>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</si>
  <si>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</si>
  <si>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</si>
  <si>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</si>
  <si>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</si>
  <si>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</si>
  <si>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</si>
  <si>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</si>
  <si>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</si>
  <si>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</si>
  <si>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</si>
  <si>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</si>
  <si>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</si>
  <si>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</si>
  <si>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</si>
  <si>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</si>
  <si>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</si>
  <si>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</si>
  <si>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</si>
  <si>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</si>
  <si>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</si>
  <si>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</si>
  <si>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</si>
  <si>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</si>
  <si>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</si>
  <si>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</si>
  <si>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</si>
  <si>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</si>
  <si>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</si>
  <si>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</si>
  <si>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</si>
  <si>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</si>
  <si>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</si>
  <si>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</si>
  <si>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</si>
  <si>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</si>
  <si>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</si>
  <si>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</si>
  <si>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</si>
  <si>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</si>
  <si>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</si>
  <si>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</si>
  <si>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</si>
  <si>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</si>
  <si>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</si>
  <si>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</si>
  <si>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</si>
  <si>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</si>
  <si>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</si>
  <si>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</si>
  <si>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</si>
  <si>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</si>
  <si>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</si>
  <si>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</si>
  <si>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</si>
  <si>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</si>
  <si>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</si>
  <si>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</si>
  <si>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</si>
  <si>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</si>
  <si>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</si>
  <si>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</si>
  <si>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</si>
  <si>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</si>
  <si>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</si>
  <si>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</si>
  <si>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</si>
  <si>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</si>
  <si>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</si>
  <si>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</si>
  <si>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</si>
  <si>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</si>
  <si>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</si>
  <si>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</si>
  <si>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</si>
  <si>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</si>
  <si>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</si>
  <si>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</si>
  <si>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</si>
  <si>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</si>
  <si>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</si>
  <si>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</si>
  <si>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</si>
  <si>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</si>
  <si>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</si>
  <si>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</si>
  <si>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</si>
  <si>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</si>
  <si>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</si>
  <si>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</si>
  <si>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</si>
  <si>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Forward P/S</t>
  </si>
  <si>
    <t>Forward P/E</t>
  </si>
  <si>
    <t>Unlevered FCF</t>
  </si>
  <si>
    <t>Levered FCF Growth YoY</t>
  </si>
  <si>
    <t>Levered FCF</t>
  </si>
  <si>
    <t>Unlevered FCF Proj</t>
  </si>
  <si>
    <t>Unlevered FCF Forecast</t>
  </si>
  <si>
    <t>Shares (5% dilution)</t>
  </si>
  <si>
    <t>Forward P/FCF</t>
  </si>
  <si>
    <t>Dividend Yield</t>
  </si>
  <si>
    <t>FCF Yield</t>
  </si>
  <si>
    <t>Share Dilution (2yr)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</si>
</sst>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13"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164" fontId="12" fillId="0" borderId="2" xfId="0" applyNumberFormat="1" applyFont="1" applyBorder="1"/>
    <xf numFmtId="164" fontId="9" fillId="6" borderId="0" xfId="0" applyNumberFormat="1" applyFont="1" applyFill="1"/>
    <xf numFmtId="0" fontId="0" fillId="6" borderId="0" xfId="0" applyFill="1"/>
    <xf numFmtId="0" fontId="0" fillId="6" borderId="0" xfId="0" applyFill="1" applyAlignment="1">
      <alignment horizontal="left"/>
    </xf>
    <xf numFmtId="164" fontId="9" fillId="7" borderId="0" xfId="0" applyNumberFormat="1" applyFont="1" applyFill="1"/>
    <xf numFmtId="164" fontId="1" fillId="7" borderId="0" xfId="0" applyNumberFormat="1" applyFont="1" applyFill="1"/>
    <xf numFmtId="168" fontId="10" fillId="0" borderId="9" xfId="0" applyNumberFormat="1" applyFont="1" applyBorder="1" applyAlignment="1">
      <alignment horizontal="center"/>
    </xf>
    <xf numFmtId="168" fontId="10" fillId="0" borderId="8"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4" fontId="12" fillId="0" borderId="3" xfId="0" applyNumberFormat="1" applyFont="1" applyBorder="1"/>
    <xf numFmtId="165" fontId="9" fillId="0" borderId="0" xfId="0" applyNumberFormat="1" applyFont="1"/>
    <xf numFmtId="165" fontId="9" fillId="0" borderId="10" xfId="0" applyNumberFormat="1" applyFont="1" applyBorder="1"/>
    <xf numFmtId="0" fontId="1" fillId="0" borderId="0" xfId="0" applyFont="1" applyAlignment="1">
      <alignment indent="1"/>
    </xf>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6" fillId="6" borderId="0" xfId="0" applyNumberFormat="1" applyFont="1" applyFill="1" applyAlignment="1">
      <alignment wrapText="1"/>
    </xf>
    <xf numFmtId="10" fontId="1" fillId="6"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4" fillId="4" borderId="0" xfId="0" applyFont="1" applyFill="1" applyAlignment="1">
      <alignment horizontal="center"/>
    </xf>
    <xf numFmtId="0" fontId="15"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SentinelOne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450278980028155E-2"/>
          <c:y val="0.14021424261933194"/>
          <c:w val="0.86359607863586585"/>
          <c:h val="0.71619486794677145"/>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1'!$C$3:$E$3</c:f>
              <c:numCache>
                <c:formatCode>#,###,,;\(#,###,,\);\ \-\ \-</c:formatCode>
                <c:ptCount val="3"/>
                <c:pt idx="0">
                  <c:v>93056000</c:v>
                </c:pt>
                <c:pt idx="1">
                  <c:v>204799000</c:v>
                </c:pt>
                <c:pt idx="2">
                  <c:v>422179000</c:v>
                </c:pt>
              </c:numCache>
            </c:numRef>
          </c:val>
          <c:extLst>
            <c:ext xmlns:c16="http://schemas.microsoft.com/office/drawing/2014/chart" uri="{C3380CC4-5D6E-409C-BE32-E72D297353CC}">
              <c16:uniqueId val="{00000000-1727-5841-9EF2-4FA4AE20883A}"/>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1'!$C$19:$E$19</c:f>
              <c:numCache>
                <c:formatCode>#,###,,;\(#,###,,\);\ \-\ \-</c:formatCode>
                <c:ptCount val="3"/>
                <c:pt idx="0">
                  <c:v>-112875000</c:v>
                </c:pt>
                <c:pt idx="1">
                  <c:v>-261401000</c:v>
                </c:pt>
                <c:pt idx="2">
                  <c:v>-384271000</c:v>
                </c:pt>
              </c:numCache>
            </c:numRef>
          </c:val>
          <c:extLst>
            <c:ext xmlns:c16="http://schemas.microsoft.com/office/drawing/2014/chart" uri="{C3380CC4-5D6E-409C-BE32-E72D297353CC}">
              <c16:uniqueId val="{00000001-1727-5841-9EF2-4FA4AE20883A}"/>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1'!$C$107:$E$107</c:f>
              <c:numCache>
                <c:formatCode>#,###,,;\(#,###,,\);\ \-\ \-</c:formatCode>
                <c:ptCount val="3"/>
                <c:pt idx="0">
                  <c:v>-72835000</c:v>
                </c:pt>
                <c:pt idx="1">
                  <c:v>-105882000</c:v>
                </c:pt>
                <c:pt idx="2">
                  <c:v>-208033000</c:v>
                </c:pt>
              </c:numCache>
            </c:numRef>
          </c:val>
          <c:extLst>
            <c:ext xmlns:c16="http://schemas.microsoft.com/office/drawing/2014/chart" uri="{C3380CC4-5D6E-409C-BE32-E72D297353CC}">
              <c16:uniqueId val="{00000002-1727-5841-9EF2-4FA4AE20883A}"/>
            </c:ext>
          </c:extLst>
        </c:ser>
        <c:dLbls>
          <c:showLegendKey val="0"/>
          <c:showVal val="0"/>
          <c:showCatName val="0"/>
          <c:showSerName val="0"/>
          <c:showPercent val="0"/>
          <c:showBubbleSize val="0"/>
        </c:dLbls>
        <c:gapWidth val="100"/>
        <c:overlap val="-24"/>
        <c:axId val="1424650752"/>
        <c:axId val="1424653648"/>
      </c:barChart>
      <c:catAx>
        <c:axId val="14246507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24653648"/>
        <c:crosses val="autoZero"/>
        <c:auto val="1"/>
        <c:lblAlgn val="ctr"/>
        <c:lblOffset val="100"/>
        <c:noMultiLvlLbl val="0"/>
      </c:catAx>
      <c:valAx>
        <c:axId val="1424653648"/>
        <c:scaling>
          <c:orientation val="minMax"/>
          <c:min val="-35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24650752"/>
        <c:crosses val="autoZero"/>
        <c:crossBetween val="between"/>
      </c:valAx>
      <c:spPr>
        <a:noFill/>
        <a:ln>
          <a:noFill/>
        </a:ln>
        <a:effectLst/>
      </c:spPr>
    </c:plotArea>
    <c:legend>
      <c:legendPos val="b"/>
      <c:layout>
        <c:manualLayout>
          <c:xMode val="edge"/>
          <c:yMode val="edge"/>
          <c:x val="0.31775303749282996"/>
          <c:y val="0.92046862754808378"/>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15875</xdr:colOff>
      <xdr:row>108</xdr:row>
      <xdr:rowOff>33338</xdr:rowOff>
    </xdr:from>
    <xdr:to>
      <xdr:col>12</xdr:col>
      <xdr:colOff>1587500</xdr:colOff>
      <xdr:row>125</xdr:row>
      <xdr:rowOff>190500</xdr:rowOff>
    </xdr:to>
    <xdr:graphicFrame macro="">
      <xdr:nvGraphicFramePr>
        <xdr:cNvPr id="2" name="Chart 1">
          <a:extLst>
            <a:ext uri="{FF2B5EF4-FFF2-40B4-BE49-F238E27FC236}">
              <a16:creationId xmlns:a16="http://schemas.microsoft.com/office/drawing/2014/main" id="{CEDA98FD-47F5-7635-30BE-282F9BE1B8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https://www.bing.com/financeapi/forcetrigger?t=c2kadm&amp;q=XNYS%3aS&amp;form=skydnc</v>
    <v>Learn more on Bing</v>
  </rv>
  <rv s="1">
    <v>0</v>
    <v>SENTINELONE, INC. (XNYS:S)</v>
    <v>2</v>
    <v>3</v>
    <v>Finance</v>
    <v>4</v>
    <v>en-US</v>
    <v>c2kadm</v>
    <v>268435456</v>
    <v>1</v>
    <v>Powered by Refinitiv</v>
    <v>30</v>
    <v>12.43</v>
    <v>1.8620000000000001</v>
    <v>-0.12</v>
    <v>-8.3280000000000003E-3</v>
    <v>0.06</v>
    <v>4.1989999999999996E-3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14.66</v>
    <v>Software &amp; IT Services</v>
    <v>Stock</v>
    <v>45114.999832233596</v>
    <v>0</v>
    <v>14.195</v>
    <v>4173068000</v>
    <v>SENTINELONE, INC.</v>
    <v>SENTINELONE, INC.</v>
    <v>14.42</v>
    <v>0</v>
    <v>14.41</v>
    <v>14.29</v>
    <v>14.35</v>
    <v>292027100</v>
    <v>S</v>
    <v>SENTINELONE, INC. (XNYS:S)</v>
    <v>5851431</v>
    <v>12255790</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83708/000158370822000016/0001583708-22-00001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83708/000158370822000016/0001583708-22-000016-index.htm" TargetMode="External"/><Relationship Id="rId2"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www.sec.gov/Archives/edgar/data/1583708/000158370822000016/0001583708-22-000016-index.htm" TargetMode="External"/><Relationship Id="rId11" Type="http://schemas.openxmlformats.org/officeDocument/2006/relationships/drawing" Target="../drawings/drawing1.xml"/><Relationship Id="rId5" Type="http://schemas.openxmlformats.org/officeDocument/2006/relationships/hyperlink" Target="https://www.sec.gov/Archives/edgar/data/1583708/000158370822000016/0001583708-22-000016-index.htm" TargetMode="External"/><Relationship Id="rId10" Type="http://schemas.openxmlformats.org/officeDocument/2006/relationships/hyperlink" Target="https://finbox.com/NYSE:S/explorer/fcf_unlev_proj" TargetMode="External"/><Relationship Id="rId4" Type="http://schemas.openxmlformats.org/officeDocument/2006/relationships/hyperlink" Target="https://sec.gov/" TargetMode="External"/><Relationship Id="rId9" Type="http://schemas.openxmlformats.org/officeDocument/2006/relationships/hyperlink" Target="https://finbox.com/NYSE: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3" activePane="bottomRight" state="frozen"/>
      <selection pane="topRight"/>
      <selection pane="bottomLeft"/>
      <selection pane="bottomRight" activeCell="G96" sqref="G96"/>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3">
        <v>2024</v>
      </c>
      <c r="G1" s="23">
        <v>2025</v>
      </c>
      <c r="H1" s="23">
        <v>2026</v>
      </c>
      <c r="I1" s="23">
        <v>2027</v>
      </c>
      <c r="J1" s="23">
        <v>2028</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t="s">
        <v>91</v>
      </c>
      <c r="C3" s="1">
        <v>93056000</v>
      </c>
      <c r="D3" s="1">
        <v>204799000</v>
      </c>
      <c r="E3" s="1">
        <v>422179000</v>
      </c>
      <c r="F3" s="24">
        <v>595000000</v>
      </c>
      <c r="G3" s="24">
        <v>797700000</v>
      </c>
      <c r="H3" s="24">
        <v>1109000000</v>
      </c>
      <c r="I3" s="24">
        <v>1303000000</v>
      </c>
      <c r="J3" s="24">
        <v>1591000000</v>
      </c>
      <c r="K3" s="19" t="s">
        <v>105</v>
      </c>
      <c r="L3" s="20" t="s">
        <v>106</v>
      </c>
      <c r="M3" s="20" t="s">
        <v>107</v>
      </c>
      <c r="N3" s="20" t="s">
        <v>108</v>
      </c>
    </row>
    <row r="4" spans="1:38" ht="19" x14ac:dyDescent="0.25">
      <c r="A4" s="14" t="s">
        <v>93</v>
      </c>
      <c r="B4" s="1"/>
      <c r="C4" s="15">
        <v>0</v>
      </c>
      <c r="D4" s="15">
        <f>(D3/C3)-1</f>
        <v>1.2008145632737275</v>
      </c>
      <c r="E4" s="15">
        <f>(E3/D3)-1</f>
        <v>1.061430964018379</v>
      </c>
      <c r="F4" s="16">
        <f t="shared" ref="F4:G4" si="0">(F3/E3)-1</f>
        <v>0.40935479974134203</v>
      </c>
      <c r="G4" s="16">
        <f t="shared" si="0"/>
        <v>0.34067226890756297</v>
      </c>
      <c r="H4" s="16">
        <f t="shared" ref="H4" si="1">(H3/G3)-1</f>
        <v>0.3902469600100289</v>
      </c>
      <c r="I4" s="16">
        <f t="shared" ref="I4" si="2">(I3/H3)-1</f>
        <v>0.17493237150586105</v>
      </c>
      <c r="J4" s="16">
        <f t="shared" ref="J4" si="3">(J3/I3)-1</f>
        <v>0.22102839600920943</v>
      </c>
      <c r="K4" s="17">
        <f>(E4+D4+C4)/3</f>
        <v>0.7540818424307022</v>
      </c>
      <c r="L4" s="17">
        <f>(E20+D20+C20)/3</f>
        <v>0.59529635657244151</v>
      </c>
      <c r="M4" s="17">
        <f>(C29+E29+D29)/3</f>
        <v>0.56718147949294995</v>
      </c>
      <c r="N4" s="17">
        <f>(E106+D106+C106)/3</f>
        <v>0.47282894379719304</v>
      </c>
      <c r="S4" s="16"/>
      <c r="T4" s="16"/>
      <c r="U4" s="16"/>
      <c r="V4" s="16"/>
      <c r="W4" s="16"/>
      <c r="X4" s="16"/>
      <c r="Y4" s="16"/>
      <c r="Z4" s="16"/>
      <c r="AA4" s="16"/>
      <c r="AB4" s="16"/>
      <c r="AC4" s="16"/>
      <c r="AD4" s="16"/>
      <c r="AE4" s="16"/>
      <c r="AF4" s="16"/>
      <c r="AI4" s="18"/>
      <c r="AJ4" s="18"/>
      <c r="AK4" s="18"/>
      <c r="AL4" s="18"/>
    </row>
    <row r="5" spans="1:38" ht="19" x14ac:dyDescent="0.25">
      <c r="A5" s="5" t="s">
        <v>2</v>
      </c>
      <c r="B5" s="1" t="s">
        <v>91</v>
      </c>
      <c r="C5" s="1">
        <v>39332000</v>
      </c>
      <c r="D5" s="1">
        <v>81677000</v>
      </c>
      <c r="E5" s="1">
        <v>144177000</v>
      </c>
      <c r="F5" s="24"/>
    </row>
    <row r="6" spans="1:38" ht="20" x14ac:dyDescent="0.25">
      <c r="A6" s="6" t="s">
        <v>3</v>
      </c>
      <c r="B6" s="10" t="s">
        <v>91</v>
      </c>
      <c r="C6" s="10">
        <v>53724000</v>
      </c>
      <c r="D6" s="10">
        <v>123122000</v>
      </c>
      <c r="E6" s="10">
        <v>278002000</v>
      </c>
      <c r="F6" s="27">
        <v>428625000</v>
      </c>
      <c r="G6" s="27"/>
      <c r="H6" s="27"/>
      <c r="I6" s="27"/>
      <c r="J6" s="27"/>
      <c r="K6" s="19" t="s">
        <v>109</v>
      </c>
      <c r="L6" s="20" t="s">
        <v>110</v>
      </c>
      <c r="M6" s="20" t="s">
        <v>111</v>
      </c>
      <c r="N6" s="20" t="s">
        <v>112</v>
      </c>
    </row>
    <row r="7" spans="1:38" ht="19" x14ac:dyDescent="0.25">
      <c r="A7" s="5" t="s">
        <v>4</v>
      </c>
      <c r="B7" s="2" t="s">
        <v>91</v>
      </c>
      <c r="C7" s="2">
        <v>0.57730000000000004</v>
      </c>
      <c r="D7" s="2">
        <v>0.60119999999999996</v>
      </c>
      <c r="E7" s="2">
        <f>E6/E3</f>
        <v>0.6584931983826765</v>
      </c>
      <c r="F7" s="2">
        <v>0.67500000000000004</v>
      </c>
      <c r="K7" s="17">
        <f>E7</f>
        <v>0.6584931983826765</v>
      </c>
      <c r="L7" s="21">
        <f>E21</f>
        <v>-0.91020870294353817</v>
      </c>
      <c r="M7" s="21">
        <f>E30</f>
        <v>-0.89626674941197926</v>
      </c>
      <c r="N7" s="21">
        <f>E107/E3</f>
        <v>-0.49276017992368165</v>
      </c>
    </row>
    <row r="8" spans="1:38" ht="19" x14ac:dyDescent="0.25">
      <c r="A8" s="5" t="s">
        <v>5</v>
      </c>
      <c r="B8" s="1" t="s">
        <v>91</v>
      </c>
      <c r="C8" s="1">
        <v>62444000</v>
      </c>
      <c r="D8" s="1">
        <v>136274000</v>
      </c>
      <c r="E8" s="1">
        <v>208008000</v>
      </c>
    </row>
    <row r="9" spans="1:38" ht="19" customHeight="1" x14ac:dyDescent="0.25">
      <c r="A9" s="14" t="s">
        <v>94</v>
      </c>
      <c r="B9" s="15" t="e">
        <f>B8/B3</f>
        <v>#VALUE!</v>
      </c>
      <c r="C9" s="15">
        <f t="shared" ref="C9:E9" si="4">C8/C3</f>
        <v>0.67103679504814306</v>
      </c>
      <c r="D9" s="15">
        <f t="shared" si="4"/>
        <v>0.6654036396662093</v>
      </c>
      <c r="E9" s="15">
        <f t="shared" si="4"/>
        <v>0.49270096333545721</v>
      </c>
      <c r="F9" s="15"/>
      <c r="G9" s="15"/>
      <c r="K9" s="19" t="s">
        <v>95</v>
      </c>
      <c r="L9" s="20" t="s">
        <v>96</v>
      </c>
      <c r="M9" s="20" t="s">
        <v>97</v>
      </c>
      <c r="N9" s="20" t="s">
        <v>98</v>
      </c>
    </row>
    <row r="10" spans="1:38" ht="19" x14ac:dyDescent="0.25">
      <c r="A10" s="5" t="s">
        <v>6</v>
      </c>
      <c r="B10" s="1" t="s">
        <v>91</v>
      </c>
      <c r="C10" s="1">
        <v>29059000</v>
      </c>
      <c r="D10" s="1">
        <v>93504000</v>
      </c>
      <c r="E10" s="1">
        <v>162722000</v>
      </c>
      <c r="K10" s="17">
        <f>E9</f>
        <v>0.49270096333545721</v>
      </c>
      <c r="L10" s="21">
        <f>E13</f>
        <v>1.1217279874176593</v>
      </c>
      <c r="M10" s="21">
        <f>E80</f>
        <v>0.38956461595673875</v>
      </c>
      <c r="N10" s="21">
        <f>E89</f>
        <v>4.4559298307116177E-2</v>
      </c>
    </row>
    <row r="11" spans="1:38" ht="19" x14ac:dyDescent="0.25">
      <c r="A11" s="5" t="s">
        <v>7</v>
      </c>
      <c r="B11" s="1" t="s">
        <v>91</v>
      </c>
      <c r="C11" s="1">
        <v>77740000</v>
      </c>
      <c r="D11" s="1">
        <v>160576000</v>
      </c>
      <c r="E11" s="1">
        <v>310848000</v>
      </c>
    </row>
    <row r="12" spans="1:38" ht="20" x14ac:dyDescent="0.25">
      <c r="A12" s="5" t="s">
        <v>8</v>
      </c>
      <c r="B12" s="1" t="s">
        <v>91</v>
      </c>
      <c r="C12" s="1">
        <v>106799000</v>
      </c>
      <c r="D12" s="1">
        <v>254080000</v>
      </c>
      <c r="E12" s="1">
        <f>E11+E10</f>
        <v>473570000</v>
      </c>
      <c r="K12" s="19" t="s">
        <v>113</v>
      </c>
      <c r="L12" s="20" t="s">
        <v>114</v>
      </c>
      <c r="M12" s="20" t="s">
        <v>115</v>
      </c>
      <c r="N12" s="20" t="s">
        <v>116</v>
      </c>
    </row>
    <row r="13" spans="1:38" ht="19" x14ac:dyDescent="0.25">
      <c r="A13" s="14" t="s">
        <v>99</v>
      </c>
      <c r="B13" s="15" t="e">
        <f>B12/B3</f>
        <v>#VALUE!</v>
      </c>
      <c r="C13" s="15">
        <f t="shared" ref="C13:E13" si="5">C12/C3</f>
        <v>1.147685264786795</v>
      </c>
      <c r="D13" s="15">
        <f t="shared" si="5"/>
        <v>1.2406310577688369</v>
      </c>
      <c r="E13" s="15">
        <f t="shared" si="5"/>
        <v>1.1217279874176593</v>
      </c>
      <c r="F13" s="15"/>
      <c r="G13" s="15"/>
      <c r="K13" s="17">
        <f>E28/E72</f>
        <v>-0.22839612363094214</v>
      </c>
      <c r="L13" s="21">
        <f>E28/E54</f>
        <v>-0.16750755783865956</v>
      </c>
      <c r="M13" s="21">
        <f>E22/(E72+E56+E61)</f>
        <v>-0.24299799904026365</v>
      </c>
      <c r="N13" s="34">
        <f>E67/E72</f>
        <v>0.42751727072713608</v>
      </c>
    </row>
    <row r="14" spans="1:38" ht="19" x14ac:dyDescent="0.25">
      <c r="A14" s="5" t="s">
        <v>9</v>
      </c>
      <c r="B14" s="1" t="s">
        <v>91</v>
      </c>
      <c r="C14" s="1" t="s">
        <v>91</v>
      </c>
      <c r="D14" s="1" t="s">
        <v>91</v>
      </c>
      <c r="E14" s="1" t="s">
        <v>91</v>
      </c>
    </row>
    <row r="15" spans="1:38" ht="20" x14ac:dyDescent="0.25">
      <c r="A15" s="5" t="s">
        <v>10</v>
      </c>
      <c r="B15" s="1" t="s">
        <v>91</v>
      </c>
      <c r="C15" s="1">
        <v>169243000</v>
      </c>
      <c r="D15" s="1">
        <v>390354000</v>
      </c>
      <c r="E15" s="1">
        <v>680578000</v>
      </c>
      <c r="K15" s="19" t="s">
        <v>166</v>
      </c>
      <c r="L15" s="20" t="s">
        <v>117</v>
      </c>
      <c r="M15" s="20" t="s">
        <v>118</v>
      </c>
      <c r="N15" s="20" t="s">
        <v>119</v>
      </c>
    </row>
    <row r="16" spans="1:38" ht="19" x14ac:dyDescent="0.25">
      <c r="A16" s="5" t="s">
        <v>11</v>
      </c>
      <c r="B16" s="1" t="s">
        <v>91</v>
      </c>
      <c r="C16" s="1">
        <v>208575000</v>
      </c>
      <c r="D16" s="1">
        <v>472031000</v>
      </c>
      <c r="E16" s="1">
        <f>E15+E5</f>
        <v>824755000</v>
      </c>
      <c r="K16" s="25">
        <f>(E35+D35)/2</f>
        <v>0.17944553344566033</v>
      </c>
      <c r="L16" s="33">
        <f>M101/E3</f>
        <v>9.8845939755411809</v>
      </c>
      <c r="M16" s="33">
        <f>M101/E28</f>
        <v>-11.028629570411089</v>
      </c>
      <c r="N16" s="35">
        <f>M101/E107</f>
        <v>-20.059644383343027</v>
      </c>
    </row>
    <row r="17" spans="1:14" ht="19" x14ac:dyDescent="0.25">
      <c r="A17" s="5" t="s">
        <v>12</v>
      </c>
      <c r="B17" s="1" t="s">
        <v>91</v>
      </c>
      <c r="C17" s="1">
        <v>1401000</v>
      </c>
      <c r="D17" s="1">
        <v>787000</v>
      </c>
      <c r="E17" s="1">
        <v>-1830000</v>
      </c>
    </row>
    <row r="18" spans="1:14" ht="20" x14ac:dyDescent="0.25">
      <c r="A18" s="5" t="s">
        <v>13</v>
      </c>
      <c r="B18" s="1" t="s">
        <v>91</v>
      </c>
      <c r="C18" s="1">
        <v>2837000</v>
      </c>
      <c r="D18" s="1">
        <v>7909000</v>
      </c>
      <c r="E18" s="1">
        <f>E77</f>
        <v>29721000</v>
      </c>
      <c r="K18" s="19" t="s">
        <v>120</v>
      </c>
      <c r="L18" s="20" t="s">
        <v>155</v>
      </c>
      <c r="M18" s="20" t="s">
        <v>156</v>
      </c>
      <c r="N18" s="20" t="s">
        <v>163</v>
      </c>
    </row>
    <row r="19" spans="1:14" ht="19" x14ac:dyDescent="0.25">
      <c r="A19" s="6" t="s">
        <v>14</v>
      </c>
      <c r="B19" s="10" t="s">
        <v>91</v>
      </c>
      <c r="C19" s="10">
        <v>-112875000</v>
      </c>
      <c r="D19" s="10">
        <v>-261401000</v>
      </c>
      <c r="E19" s="10">
        <v>-384271000</v>
      </c>
      <c r="F19" s="27">
        <v>-148400000</v>
      </c>
      <c r="G19" s="27">
        <v>-28900000</v>
      </c>
      <c r="H19" s="27">
        <v>86792000</v>
      </c>
      <c r="I19" s="27">
        <v>134600000</v>
      </c>
      <c r="J19" s="27">
        <v>243900000</v>
      </c>
      <c r="K19" s="26">
        <f>E40-E56-E61</f>
        <v>623525000</v>
      </c>
      <c r="L19" s="33">
        <f>M101/F3</f>
        <v>7.0135596638655464</v>
      </c>
      <c r="M19" s="36">
        <f>M101/F28</f>
        <v>-28.504562841530056</v>
      </c>
      <c r="N19" s="35">
        <f>M101/F106</f>
        <v>-51.197006502269659</v>
      </c>
    </row>
    <row r="20" spans="1:14" ht="19" customHeight="1" x14ac:dyDescent="0.25">
      <c r="A20" s="14" t="s">
        <v>100</v>
      </c>
      <c r="B20" s="1"/>
      <c r="C20" s="15">
        <v>0</v>
      </c>
      <c r="D20" s="15">
        <f>(D19/C19)-1</f>
        <v>1.3158449612403103</v>
      </c>
      <c r="E20" s="15">
        <f>(E19/D19)-1</f>
        <v>0.47004410847701417</v>
      </c>
      <c r="F20" s="16">
        <f t="shared" ref="F20:J20" si="6">(F19/E19)-1</f>
        <v>-0.61381420924295615</v>
      </c>
      <c r="G20" s="16">
        <f t="shared" si="6"/>
        <v>-0.80525606469002697</v>
      </c>
      <c r="H20" s="16">
        <f t="shared" si="6"/>
        <v>-4.0031833910034607</v>
      </c>
      <c r="I20" s="16">
        <f t="shared" si="6"/>
        <v>0.55083417826527792</v>
      </c>
      <c r="J20" s="16">
        <f t="shared" si="6"/>
        <v>0.81203566121842496</v>
      </c>
    </row>
    <row r="21" spans="1:14" ht="20" x14ac:dyDescent="0.25">
      <c r="A21" s="5" t="s">
        <v>15</v>
      </c>
      <c r="B21" s="2" t="s">
        <v>91</v>
      </c>
      <c r="C21" s="2">
        <v>-1.2130000000000001</v>
      </c>
      <c r="D21" s="2">
        <v>-1.2764</v>
      </c>
      <c r="E21" s="2">
        <f>E19/E3</f>
        <v>-0.91020870294353817</v>
      </c>
      <c r="F21" s="39">
        <f t="shared" ref="F21:J21" si="7">F19/F3</f>
        <v>-0.24941176470588236</v>
      </c>
      <c r="G21" s="39">
        <f t="shared" si="7"/>
        <v>-3.6229158831640969E-2</v>
      </c>
      <c r="H21" s="39">
        <f t="shared" si="7"/>
        <v>7.8261496844003603E-2</v>
      </c>
      <c r="I21" s="39">
        <f t="shared" si="7"/>
        <v>0.10330007674597083</v>
      </c>
      <c r="J21" s="39">
        <f t="shared" si="7"/>
        <v>0.15329981143934632</v>
      </c>
      <c r="M21" s="19" t="s">
        <v>164</v>
      </c>
      <c r="N21" s="20" t="s">
        <v>165</v>
      </c>
    </row>
    <row r="22" spans="1:14" ht="19" x14ac:dyDescent="0.25">
      <c r="A22" s="6" t="s">
        <v>16</v>
      </c>
      <c r="B22" s="10" t="s">
        <v>91</v>
      </c>
      <c r="C22" s="10">
        <v>-115519000</v>
      </c>
      <c r="D22" s="10">
        <v>-267232000</v>
      </c>
      <c r="E22" s="10">
        <v>-402576000</v>
      </c>
      <c r="M22" s="41">
        <f>(-1*E98)/M101</f>
        <v>0</v>
      </c>
      <c r="N22" s="42">
        <f>E107/M101</f>
        <v>-4.9851332401005685E-2</v>
      </c>
    </row>
    <row r="23" spans="1:14" ht="19" x14ac:dyDescent="0.25">
      <c r="A23" s="5" t="s">
        <v>17</v>
      </c>
      <c r="B23" s="2" t="s">
        <v>91</v>
      </c>
      <c r="C23" s="2">
        <v>-1.2414000000000001</v>
      </c>
      <c r="D23" s="2">
        <v>-1.3048999999999999</v>
      </c>
      <c r="E23" s="2">
        <f>E22/E3</f>
        <v>-0.95356708884146302</v>
      </c>
    </row>
    <row r="24" spans="1:14" ht="19" x14ac:dyDescent="0.25">
      <c r="A24" s="5" t="s">
        <v>18</v>
      </c>
      <c r="B24" s="1" t="s">
        <v>91</v>
      </c>
      <c r="C24" s="1">
        <v>-1594000</v>
      </c>
      <c r="D24" s="1">
        <v>-2865000</v>
      </c>
      <c r="E24" s="1">
        <v>-1293000</v>
      </c>
    </row>
    <row r="25" spans="1:14" ht="19" x14ac:dyDescent="0.25">
      <c r="A25" s="6" t="s">
        <v>19</v>
      </c>
      <c r="B25" s="10" t="s">
        <v>91</v>
      </c>
      <c r="C25" s="10">
        <v>-117113000</v>
      </c>
      <c r="D25" s="10">
        <v>-270097000</v>
      </c>
      <c r="E25" s="10">
        <v>-383998000</v>
      </c>
    </row>
    <row r="26" spans="1:14" ht="19" x14ac:dyDescent="0.25">
      <c r="A26" s="5" t="s">
        <v>20</v>
      </c>
      <c r="B26" s="2" t="s">
        <v>91</v>
      </c>
      <c r="C26" s="2">
        <v>-1.2585</v>
      </c>
      <c r="D26" s="2">
        <v>-1.3188</v>
      </c>
      <c r="E26" s="2">
        <f>E25/E3</f>
        <v>-0.90956205780012744</v>
      </c>
    </row>
    <row r="27" spans="1:14" ht="19" x14ac:dyDescent="0.25">
      <c r="A27" s="5" t="s">
        <v>21</v>
      </c>
      <c r="B27" s="1" t="s">
        <v>91</v>
      </c>
      <c r="C27" s="1">
        <v>460000</v>
      </c>
      <c r="D27" s="1">
        <v>1004000</v>
      </c>
      <c r="E27" s="1">
        <v>-5613000</v>
      </c>
    </row>
    <row r="28" spans="1:14" ht="20" thickBot="1" x14ac:dyDescent="0.3">
      <c r="A28" s="7" t="s">
        <v>22</v>
      </c>
      <c r="B28" s="11" t="s">
        <v>91</v>
      </c>
      <c r="C28" s="11">
        <v>-117573000</v>
      </c>
      <c r="D28" s="11">
        <v>-271101000</v>
      </c>
      <c r="E28" s="11">
        <v>-378385000</v>
      </c>
      <c r="F28" s="37">
        <v>-146400000</v>
      </c>
      <c r="G28" s="37">
        <v>-10510000</v>
      </c>
      <c r="H28" s="37">
        <v>92695000</v>
      </c>
      <c r="I28" s="37">
        <v>172000000</v>
      </c>
      <c r="J28" s="37">
        <v>326000000</v>
      </c>
    </row>
    <row r="29" spans="1:14" ht="20" customHeight="1" thickTop="1" x14ac:dyDescent="0.25">
      <c r="A29" s="14" t="s">
        <v>101</v>
      </c>
      <c r="B29" s="1"/>
      <c r="C29" s="15">
        <v>0</v>
      </c>
      <c r="D29" s="15">
        <f>(D28/C28)-1</f>
        <v>1.3058100073996579</v>
      </c>
      <c r="E29" s="15">
        <f>(E28/D28)-1</f>
        <v>0.39573443107919193</v>
      </c>
      <c r="F29" s="16">
        <f t="shared" ref="F29:J29" si="8">(F28/E28)-1</f>
        <v>-0.61309248516722392</v>
      </c>
      <c r="G29" s="16">
        <f t="shared" si="8"/>
        <v>-0.92821038251366117</v>
      </c>
      <c r="H29" s="16">
        <f t="shared" si="8"/>
        <v>-9.8196955280685057</v>
      </c>
      <c r="I29" s="16">
        <f t="shared" si="8"/>
        <v>0.85554776417282485</v>
      </c>
      <c r="J29" s="16">
        <f t="shared" si="8"/>
        <v>0.89534883720930236</v>
      </c>
    </row>
    <row r="30" spans="1:14" ht="19" x14ac:dyDescent="0.25">
      <c r="A30" s="5" t="s">
        <v>23</v>
      </c>
      <c r="B30" s="2" t="s">
        <v>91</v>
      </c>
      <c r="C30" s="2">
        <v>-1.2635000000000001</v>
      </c>
      <c r="D30" s="2">
        <v>-1.3237000000000001</v>
      </c>
      <c r="E30" s="2">
        <f>E28/E3</f>
        <v>-0.89626674941197926</v>
      </c>
      <c r="F30" s="38">
        <f t="shared" ref="F30:J30" si="9">F28/F3</f>
        <v>-0.24605042016806722</v>
      </c>
      <c r="G30" s="38">
        <f t="shared" si="9"/>
        <v>-1.3175379215243825E-2</v>
      </c>
      <c r="H30" s="38">
        <f t="shared" si="9"/>
        <v>8.3584310189359787E-2</v>
      </c>
      <c r="I30" s="38">
        <f t="shared" si="9"/>
        <v>0.13200306983883345</v>
      </c>
      <c r="J30" s="38">
        <f t="shared" si="9"/>
        <v>0.20490257699560024</v>
      </c>
    </row>
    <row r="31" spans="1:14" ht="19" x14ac:dyDescent="0.25">
      <c r="A31" s="5" t="s">
        <v>24</v>
      </c>
      <c r="B31" s="12" t="s">
        <v>91</v>
      </c>
      <c r="C31" s="12">
        <v>-0.57999999999999996</v>
      </c>
      <c r="D31" s="12">
        <v>-1.03</v>
      </c>
      <c r="E31" s="12">
        <v>-1.36</v>
      </c>
    </row>
    <row r="32" spans="1:14" ht="19" x14ac:dyDescent="0.25">
      <c r="A32" s="5" t="s">
        <v>25</v>
      </c>
      <c r="B32" s="12" t="s">
        <v>91</v>
      </c>
      <c r="C32" s="12">
        <v>-0.57999999999999996</v>
      </c>
      <c r="D32" s="12">
        <v>-1.03</v>
      </c>
      <c r="E32" s="12">
        <v>-1.36</v>
      </c>
    </row>
    <row r="33" spans="1:6" ht="19" x14ac:dyDescent="0.25">
      <c r="A33" s="5" t="s">
        <v>26</v>
      </c>
      <c r="B33" s="1" t="s">
        <v>91</v>
      </c>
      <c r="C33" s="1">
        <v>204433503</v>
      </c>
      <c r="D33" s="1">
        <v>204433503</v>
      </c>
      <c r="E33" s="1">
        <v>277802861</v>
      </c>
    </row>
    <row r="34" spans="1:6" ht="19" x14ac:dyDescent="0.25">
      <c r="A34" s="5" t="s">
        <v>27</v>
      </c>
      <c r="B34" s="1" t="s">
        <v>91</v>
      </c>
      <c r="C34" s="1">
        <v>204433503</v>
      </c>
      <c r="D34" s="1">
        <v>204433503</v>
      </c>
      <c r="E34" s="1">
        <v>277802861</v>
      </c>
    </row>
    <row r="35" spans="1:6" ht="20" customHeight="1" x14ac:dyDescent="0.25">
      <c r="A35" s="14" t="s">
        <v>102</v>
      </c>
      <c r="B35" s="1"/>
      <c r="C35" s="22" t="e">
        <f>(C34-B34)/B34</f>
        <v>#VALUE!</v>
      </c>
      <c r="D35" s="22">
        <f t="shared" ref="D35:E35" si="10">(D34-C34)/C34</f>
        <v>0</v>
      </c>
      <c r="E35" s="22">
        <f t="shared" si="10"/>
        <v>0.35889106689132066</v>
      </c>
      <c r="F35" s="22"/>
    </row>
    <row r="36" spans="1:6" ht="19" x14ac:dyDescent="0.25">
      <c r="A36" s="5" t="s">
        <v>28</v>
      </c>
      <c r="B36" s="13" t="s">
        <v>92</v>
      </c>
      <c r="C36" s="13" t="s">
        <v>92</v>
      </c>
      <c r="D36" s="13" t="s">
        <v>92</v>
      </c>
      <c r="E36" s="13" t="s">
        <v>92</v>
      </c>
    </row>
    <row r="37" spans="1:6" ht="21" x14ac:dyDescent="0.25">
      <c r="A37" s="4" t="s">
        <v>29</v>
      </c>
      <c r="B37" s="9" t="s">
        <v>90</v>
      </c>
      <c r="C37" s="9" t="s">
        <v>90</v>
      </c>
      <c r="D37" s="9" t="s">
        <v>90</v>
      </c>
      <c r="E37" s="9" t="s">
        <v>90</v>
      </c>
    </row>
    <row r="38" spans="1:6" ht="19" x14ac:dyDescent="0.25">
      <c r="A38" s="5" t="s">
        <v>30</v>
      </c>
      <c r="B38" s="1" t="s">
        <v>91</v>
      </c>
      <c r="C38" s="1">
        <v>395472000</v>
      </c>
      <c r="D38" s="1">
        <v>1669304000</v>
      </c>
      <c r="E38" s="1">
        <v>137941000</v>
      </c>
    </row>
    <row r="39" spans="1:6" ht="19" x14ac:dyDescent="0.25">
      <c r="A39" s="5" t="s">
        <v>31</v>
      </c>
      <c r="B39" s="1" t="s">
        <v>91</v>
      </c>
      <c r="C39" s="1">
        <v>364000</v>
      </c>
      <c r="D39" s="1">
        <v>374000</v>
      </c>
      <c r="E39" s="1">
        <v>485584000</v>
      </c>
    </row>
    <row r="40" spans="1:6" ht="19" x14ac:dyDescent="0.25">
      <c r="A40" s="5" t="s">
        <v>32</v>
      </c>
      <c r="B40" s="1" t="s">
        <v>91</v>
      </c>
      <c r="C40" s="1">
        <v>395836000</v>
      </c>
      <c r="D40" s="1">
        <v>1669678000</v>
      </c>
      <c r="E40" s="1">
        <f>E38+E39</f>
        <v>623525000</v>
      </c>
    </row>
    <row r="41" spans="1:6" ht="19" x14ac:dyDescent="0.25">
      <c r="A41" s="5" t="s">
        <v>33</v>
      </c>
      <c r="B41" s="1" t="s">
        <v>91</v>
      </c>
      <c r="C41" s="1">
        <v>39315000</v>
      </c>
      <c r="D41" s="1">
        <v>101491000</v>
      </c>
      <c r="E41" s="1">
        <v>151492000</v>
      </c>
    </row>
    <row r="42" spans="1:6" ht="19" x14ac:dyDescent="0.25">
      <c r="A42" s="5" t="s">
        <v>34</v>
      </c>
      <c r="B42" s="1" t="s">
        <v>91</v>
      </c>
      <c r="C42" s="1" t="s">
        <v>91</v>
      </c>
      <c r="D42" s="1" t="s">
        <v>91</v>
      </c>
      <c r="E42" s="1" t="s">
        <v>91</v>
      </c>
    </row>
    <row r="43" spans="1:6" ht="19" x14ac:dyDescent="0.25">
      <c r="A43" s="5" t="s">
        <v>35</v>
      </c>
      <c r="B43" s="1" t="s">
        <v>91</v>
      </c>
      <c r="C43" s="1">
        <v>28906000</v>
      </c>
      <c r="D43" s="1">
        <v>46485000</v>
      </c>
      <c r="E43" s="1">
        <v>139716000</v>
      </c>
    </row>
    <row r="44" spans="1:6" ht="19" x14ac:dyDescent="0.25">
      <c r="A44" s="6" t="s">
        <v>36</v>
      </c>
      <c r="B44" s="10" t="s">
        <v>91</v>
      </c>
      <c r="C44" s="10">
        <v>464057000</v>
      </c>
      <c r="D44" s="10">
        <v>1817654000</v>
      </c>
      <c r="E44" s="10">
        <v>914733000</v>
      </c>
    </row>
    <row r="45" spans="1:6" ht="19" x14ac:dyDescent="0.25">
      <c r="A45" s="5" t="s">
        <v>37</v>
      </c>
      <c r="B45" s="1" t="s">
        <v>91</v>
      </c>
      <c r="C45" s="1">
        <v>31399000</v>
      </c>
      <c r="D45" s="1">
        <v>48802000</v>
      </c>
      <c r="E45" s="1">
        <v>38741000</v>
      </c>
    </row>
    <row r="46" spans="1:6" ht="19" x14ac:dyDescent="0.25">
      <c r="A46" s="5" t="s">
        <v>38</v>
      </c>
      <c r="B46" s="1" t="s">
        <v>91</v>
      </c>
      <c r="C46" s="1" t="s">
        <v>91</v>
      </c>
      <c r="D46" s="1">
        <v>108193000</v>
      </c>
      <c r="E46" s="1">
        <v>540308000</v>
      </c>
    </row>
    <row r="47" spans="1:6" ht="19" x14ac:dyDescent="0.25">
      <c r="A47" s="5" t="s">
        <v>39</v>
      </c>
      <c r="B47" s="1" t="s">
        <v>91</v>
      </c>
      <c r="C47" s="1">
        <v>470000</v>
      </c>
      <c r="D47" s="1">
        <v>15807000</v>
      </c>
      <c r="E47" s="1">
        <v>145093000</v>
      </c>
    </row>
    <row r="48" spans="1:6" ht="19" x14ac:dyDescent="0.25">
      <c r="A48" s="5" t="s">
        <v>40</v>
      </c>
      <c r="B48" s="1" t="s">
        <v>91</v>
      </c>
      <c r="C48" s="1">
        <v>470000</v>
      </c>
      <c r="D48" s="1">
        <v>124000000</v>
      </c>
      <c r="E48" s="1">
        <v>685401000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t="s">
        <v>91</v>
      </c>
      <c r="C51" s="1">
        <v>24634000</v>
      </c>
      <c r="D51" s="1">
        <v>51725000</v>
      </c>
      <c r="E51" s="1">
        <v>5516000</v>
      </c>
    </row>
    <row r="52" spans="1:5" ht="19" x14ac:dyDescent="0.25">
      <c r="A52" s="5" t="s">
        <v>44</v>
      </c>
      <c r="B52" s="1" t="s">
        <v>91</v>
      </c>
      <c r="C52" s="1">
        <v>56503000</v>
      </c>
      <c r="D52" s="1">
        <v>224527000</v>
      </c>
      <c r="E52" s="1">
        <v>1265232000</v>
      </c>
    </row>
    <row r="53" spans="1:5" ht="19" x14ac:dyDescent="0.25">
      <c r="A53" s="5" t="s">
        <v>45</v>
      </c>
      <c r="B53" s="1" t="s">
        <v>91</v>
      </c>
      <c r="C53" s="1" t="s">
        <v>91</v>
      </c>
      <c r="D53" s="1" t="s">
        <v>91</v>
      </c>
      <c r="E53" s="1" t="s">
        <v>91</v>
      </c>
    </row>
    <row r="54" spans="1:5" ht="20" thickBot="1" x14ac:dyDescent="0.3">
      <c r="A54" s="7" t="s">
        <v>46</v>
      </c>
      <c r="B54" s="11" t="s">
        <v>91</v>
      </c>
      <c r="C54" s="11">
        <v>520560000</v>
      </c>
      <c r="D54" s="11">
        <v>2042181000</v>
      </c>
      <c r="E54" s="11">
        <v>2258913000</v>
      </c>
    </row>
    <row r="55" spans="1:5" ht="20" thickTop="1" x14ac:dyDescent="0.25">
      <c r="A55" s="5" t="s">
        <v>47</v>
      </c>
      <c r="B55" s="1" t="s">
        <v>91</v>
      </c>
      <c r="C55" s="1">
        <v>11822000</v>
      </c>
      <c r="D55" s="1">
        <v>9944000</v>
      </c>
      <c r="E55" s="1">
        <v>11214000</v>
      </c>
    </row>
    <row r="56" spans="1:5" ht="19" x14ac:dyDescent="0.25">
      <c r="A56" s="5" t="s">
        <v>48</v>
      </c>
      <c r="B56" s="1" t="s">
        <v>91</v>
      </c>
      <c r="C56" s="1">
        <v>3634000</v>
      </c>
      <c r="D56" s="1">
        <v>4613000</v>
      </c>
      <c r="E56" s="1">
        <v>0</v>
      </c>
    </row>
    <row r="57" spans="1:5" ht="19" x14ac:dyDescent="0.25">
      <c r="A57" s="5" t="s">
        <v>49</v>
      </c>
      <c r="B57" s="1" t="s">
        <v>91</v>
      </c>
      <c r="C57" s="1" t="s">
        <v>91</v>
      </c>
      <c r="D57" s="1" t="s">
        <v>91</v>
      </c>
      <c r="E57" s="1" t="s">
        <v>91</v>
      </c>
    </row>
    <row r="58" spans="1:5" ht="19" x14ac:dyDescent="0.25">
      <c r="A58" s="5" t="s">
        <v>50</v>
      </c>
      <c r="B58" s="1" t="s">
        <v>91</v>
      </c>
      <c r="C58" s="1">
        <v>89645000</v>
      </c>
      <c r="D58" s="1">
        <v>182957000</v>
      </c>
      <c r="E58" s="1">
        <v>406262000</v>
      </c>
    </row>
    <row r="59" spans="1:5" ht="19" x14ac:dyDescent="0.25">
      <c r="A59" s="5" t="s">
        <v>51</v>
      </c>
      <c r="B59" s="1" t="s">
        <v>91</v>
      </c>
      <c r="C59" s="1">
        <v>23805000</v>
      </c>
      <c r="D59" s="1">
        <v>83807000</v>
      </c>
      <c r="E59" s="1">
        <v>158865000</v>
      </c>
    </row>
    <row r="60" spans="1:5" ht="19" x14ac:dyDescent="0.25">
      <c r="A60" s="6" t="s">
        <v>52</v>
      </c>
      <c r="B60" s="10" t="s">
        <v>91</v>
      </c>
      <c r="C60" s="10">
        <v>128906000</v>
      </c>
      <c r="D60" s="10">
        <v>281321000</v>
      </c>
      <c r="E60" s="10">
        <v>576341000</v>
      </c>
    </row>
    <row r="61" spans="1:5" ht="19" x14ac:dyDescent="0.25">
      <c r="A61" s="5" t="s">
        <v>53</v>
      </c>
      <c r="B61" s="1" t="s">
        <v>91</v>
      </c>
      <c r="C61" s="1">
        <v>38460000</v>
      </c>
      <c r="D61" s="1">
        <v>24467000</v>
      </c>
      <c r="E61" s="1">
        <v>0</v>
      </c>
    </row>
    <row r="62" spans="1:5" ht="19" x14ac:dyDescent="0.25">
      <c r="A62" s="5" t="s">
        <v>50</v>
      </c>
      <c r="B62" s="1" t="s">
        <v>91</v>
      </c>
      <c r="C62" s="1">
        <v>52190000</v>
      </c>
      <c r="D62" s="1">
        <v>79062000</v>
      </c>
      <c r="E62" s="1">
        <v>103062000</v>
      </c>
    </row>
    <row r="63" spans="1:5" ht="19" x14ac:dyDescent="0.25">
      <c r="A63" s="5" t="s">
        <v>54</v>
      </c>
      <c r="B63" s="1" t="s">
        <v>91</v>
      </c>
      <c r="C63" s="1" t="s">
        <v>91</v>
      </c>
      <c r="D63" s="1" t="s">
        <v>91</v>
      </c>
      <c r="E63" s="1" t="s">
        <v>91</v>
      </c>
    </row>
    <row r="64" spans="1:5" ht="19" x14ac:dyDescent="0.25">
      <c r="A64" s="5" t="s">
        <v>55</v>
      </c>
      <c r="B64" s="1" t="s">
        <v>91</v>
      </c>
      <c r="C64" s="1">
        <v>621540000</v>
      </c>
      <c r="D64" s="1">
        <v>6543000</v>
      </c>
      <c r="E64" s="1">
        <v>25867000</v>
      </c>
    </row>
    <row r="65" spans="1:6" ht="19" x14ac:dyDescent="0.25">
      <c r="A65" s="5" t="s">
        <v>56</v>
      </c>
      <c r="B65" s="1" t="s">
        <v>91</v>
      </c>
      <c r="C65" s="1">
        <v>712190000</v>
      </c>
      <c r="D65" s="1">
        <v>110072000</v>
      </c>
      <c r="E65" s="1">
        <v>131929000</v>
      </c>
    </row>
    <row r="66" spans="1:6" ht="19" x14ac:dyDescent="0.25">
      <c r="A66" s="5" t="s">
        <v>57</v>
      </c>
      <c r="B66" s="1" t="s">
        <v>91</v>
      </c>
      <c r="C66" s="1" t="s">
        <v>91</v>
      </c>
      <c r="D66" s="1" t="s">
        <v>91</v>
      </c>
      <c r="E66" s="1" t="s">
        <v>91</v>
      </c>
    </row>
    <row r="67" spans="1:6" ht="19" x14ac:dyDescent="0.25">
      <c r="A67" s="6" t="s">
        <v>58</v>
      </c>
      <c r="B67" s="10" t="s">
        <v>91</v>
      </c>
      <c r="C67" s="10">
        <v>841096000</v>
      </c>
      <c r="D67" s="10">
        <v>391393000</v>
      </c>
      <c r="E67" s="10">
        <v>708270000</v>
      </c>
    </row>
    <row r="68" spans="1:6" ht="19" x14ac:dyDescent="0.25">
      <c r="A68" s="5" t="s">
        <v>59</v>
      </c>
      <c r="B68" s="1" t="s">
        <v>91</v>
      </c>
      <c r="C68" s="1">
        <v>2000</v>
      </c>
      <c r="D68" s="1">
        <v>27000</v>
      </c>
      <c r="E68" s="1">
        <v>27000</v>
      </c>
    </row>
    <row r="69" spans="1:6" ht="19" x14ac:dyDescent="0.25">
      <c r="A69" s="5" t="s">
        <v>60</v>
      </c>
      <c r="B69" s="1" t="s">
        <v>91</v>
      </c>
      <c r="C69" s="1">
        <v>-350572000</v>
      </c>
      <c r="D69" s="1">
        <v>-621673000</v>
      </c>
      <c r="E69" s="1">
        <v>-1000351000</v>
      </c>
    </row>
    <row r="70" spans="1:6" ht="19" x14ac:dyDescent="0.25">
      <c r="A70" s="5" t="s">
        <v>61</v>
      </c>
      <c r="B70" s="1" t="s">
        <v>91</v>
      </c>
      <c r="C70" s="1">
        <v>165000</v>
      </c>
      <c r="D70" s="1">
        <v>454000</v>
      </c>
      <c r="E70" s="1">
        <v>454000</v>
      </c>
    </row>
    <row r="71" spans="1:6" ht="19" x14ac:dyDescent="0.25">
      <c r="A71" s="5" t="s">
        <v>62</v>
      </c>
      <c r="B71" s="1" t="s">
        <v>91</v>
      </c>
      <c r="C71" s="1">
        <v>29869000</v>
      </c>
      <c r="D71" s="1">
        <v>2271980000</v>
      </c>
      <c r="E71" s="1">
        <v>2662394000</v>
      </c>
    </row>
    <row r="72" spans="1:6" ht="19" x14ac:dyDescent="0.25">
      <c r="A72" s="6" t="s">
        <v>63</v>
      </c>
      <c r="B72" s="10" t="s">
        <v>91</v>
      </c>
      <c r="C72" s="10">
        <v>-320536000</v>
      </c>
      <c r="D72" s="10">
        <v>1650788000</v>
      </c>
      <c r="E72" s="10">
        <v>1656705000</v>
      </c>
    </row>
    <row r="73" spans="1:6" ht="20" thickBot="1" x14ac:dyDescent="0.3">
      <c r="A73" s="7" t="s">
        <v>64</v>
      </c>
      <c r="B73" s="11" t="s">
        <v>91</v>
      </c>
      <c r="C73" s="11">
        <v>520560000</v>
      </c>
      <c r="D73" s="11">
        <v>2042181000</v>
      </c>
      <c r="E73" s="11">
        <v>2258913000</v>
      </c>
    </row>
    <row r="74" spans="1:6" ht="20" thickTop="1" x14ac:dyDescent="0.25">
      <c r="A74" s="5" t="s">
        <v>28</v>
      </c>
      <c r="B74" s="13" t="s">
        <v>92</v>
      </c>
      <c r="C74" s="13" t="s">
        <v>92</v>
      </c>
      <c r="D74" s="13" t="s">
        <v>92</v>
      </c>
      <c r="E74" s="13" t="s">
        <v>92</v>
      </c>
    </row>
    <row r="75" spans="1:6" ht="21" x14ac:dyDescent="0.25">
      <c r="A75" s="4" t="s">
        <v>65</v>
      </c>
      <c r="B75" s="9" t="s">
        <v>90</v>
      </c>
      <c r="C75" s="9" t="s">
        <v>90</v>
      </c>
      <c r="D75" s="9" t="s">
        <v>90</v>
      </c>
      <c r="E75" s="9" t="s">
        <v>90</v>
      </c>
    </row>
    <row r="76" spans="1:6" ht="19" x14ac:dyDescent="0.25">
      <c r="A76" s="5" t="s">
        <v>66</v>
      </c>
      <c r="B76" s="1" t="s">
        <v>91</v>
      </c>
      <c r="C76" s="1">
        <v>-117573000</v>
      </c>
      <c r="D76" s="1">
        <v>-271101000</v>
      </c>
      <c r="E76" s="1">
        <v>-378678000</v>
      </c>
    </row>
    <row r="77" spans="1:6" ht="19" x14ac:dyDescent="0.25">
      <c r="A77" s="5" t="s">
        <v>13</v>
      </c>
      <c r="B77" s="1" t="s">
        <v>91</v>
      </c>
      <c r="C77" s="1">
        <v>2837000</v>
      </c>
      <c r="D77" s="1">
        <v>7909000</v>
      </c>
      <c r="E77" s="1">
        <v>29721000</v>
      </c>
    </row>
    <row r="78" spans="1:6" ht="19" x14ac:dyDescent="0.25">
      <c r="A78" s="5" t="s">
        <v>67</v>
      </c>
      <c r="B78" s="1" t="s">
        <v>91</v>
      </c>
      <c r="C78" s="1" t="s">
        <v>91</v>
      </c>
      <c r="D78" s="1" t="s">
        <v>91</v>
      </c>
      <c r="E78" s="1" t="s">
        <v>91</v>
      </c>
    </row>
    <row r="79" spans="1:6" ht="19" x14ac:dyDescent="0.25">
      <c r="A79" s="5" t="s">
        <v>68</v>
      </c>
      <c r="B79" s="1" t="s">
        <v>91</v>
      </c>
      <c r="C79" s="1">
        <v>15912000</v>
      </c>
      <c r="D79" s="1">
        <v>87889000</v>
      </c>
      <c r="E79" s="1">
        <v>164466000</v>
      </c>
    </row>
    <row r="80" spans="1:6" ht="19" x14ac:dyDescent="0.25">
      <c r="A80" s="14" t="s">
        <v>103</v>
      </c>
      <c r="B80" s="15" t="e">
        <f t="shared" ref="B80:E80" si="11">B79/B3</f>
        <v>#VALUE!</v>
      </c>
      <c r="C80" s="15">
        <f t="shared" si="11"/>
        <v>0.17099381017881707</v>
      </c>
      <c r="D80" s="15">
        <f t="shared" si="11"/>
        <v>0.42914760325978152</v>
      </c>
      <c r="E80" s="15">
        <f t="shared" si="11"/>
        <v>0.38956461595673875</v>
      </c>
      <c r="F80" s="15"/>
    </row>
    <row r="81" spans="1:13" ht="19" x14ac:dyDescent="0.25">
      <c r="A81" s="5" t="s">
        <v>69</v>
      </c>
      <c r="B81" s="1" t="s">
        <v>91</v>
      </c>
      <c r="C81" s="1">
        <v>17673000</v>
      </c>
      <c r="D81" s="1">
        <v>55639000</v>
      </c>
      <c r="E81" s="1"/>
    </row>
    <row r="82" spans="1:13" ht="19" x14ac:dyDescent="0.25">
      <c r="A82" s="5" t="s">
        <v>70</v>
      </c>
      <c r="B82" s="1" t="s">
        <v>91</v>
      </c>
      <c r="C82" s="1">
        <v>-8320000</v>
      </c>
      <c r="D82" s="1">
        <v>-59082000</v>
      </c>
      <c r="E82" s="1">
        <v>-44442000</v>
      </c>
    </row>
    <row r="83" spans="1:13" ht="21" x14ac:dyDescent="0.25">
      <c r="A83" s="5" t="s">
        <v>34</v>
      </c>
      <c r="B83" s="1" t="s">
        <v>91</v>
      </c>
      <c r="C83" s="1" t="s">
        <v>91</v>
      </c>
      <c r="D83" s="1" t="s">
        <v>91</v>
      </c>
      <c r="E83" s="1" t="s">
        <v>91</v>
      </c>
      <c r="L83" s="65" t="s">
        <v>121</v>
      </c>
      <c r="M83" s="66"/>
    </row>
    <row r="84" spans="1:13" ht="19" x14ac:dyDescent="0.25">
      <c r="A84" s="5" t="s">
        <v>47</v>
      </c>
      <c r="B84" s="1" t="s">
        <v>91</v>
      </c>
      <c r="C84" s="1">
        <v>7429000</v>
      </c>
      <c r="D84" s="1">
        <v>-2076000</v>
      </c>
      <c r="E84" s="1">
        <v>3670000</v>
      </c>
      <c r="L84" s="67" t="s">
        <v>122</v>
      </c>
      <c r="M84" s="67"/>
    </row>
    <row r="85" spans="1:13" ht="20" x14ac:dyDescent="0.25">
      <c r="A85" s="5" t="s">
        <v>71</v>
      </c>
      <c r="B85" s="1" t="s">
        <v>91</v>
      </c>
      <c r="C85" s="1">
        <v>22131000</v>
      </c>
      <c r="D85" s="1">
        <v>61577000</v>
      </c>
      <c r="E85" s="1"/>
      <c r="L85" s="43" t="s">
        <v>123</v>
      </c>
      <c r="M85" s="44">
        <f>E17</f>
        <v>-1830000</v>
      </c>
    </row>
    <row r="86" spans="1:13" ht="20" x14ac:dyDescent="0.25">
      <c r="A86" s="5" t="s">
        <v>72</v>
      </c>
      <c r="B86" s="1" t="s">
        <v>91</v>
      </c>
      <c r="C86" s="1">
        <v>14581000</v>
      </c>
      <c r="D86" s="1">
        <v>24076000</v>
      </c>
      <c r="E86" s="1">
        <v>-12217000</v>
      </c>
      <c r="L86" s="43" t="s">
        <v>124</v>
      </c>
      <c r="M86" s="44">
        <f>E56</f>
        <v>0</v>
      </c>
    </row>
    <row r="87" spans="1:13" ht="20" x14ac:dyDescent="0.25">
      <c r="A87" s="6" t="s">
        <v>73</v>
      </c>
      <c r="B87" s="10" t="s">
        <v>91</v>
      </c>
      <c r="C87" s="10">
        <v>-66570000</v>
      </c>
      <c r="D87" s="10">
        <v>-95588000</v>
      </c>
      <c r="E87" s="10">
        <v>-193287000</v>
      </c>
      <c r="L87" s="43" t="s">
        <v>125</v>
      </c>
      <c r="M87" s="44">
        <f>E61</f>
        <v>0</v>
      </c>
    </row>
    <row r="88" spans="1:13" ht="20" x14ac:dyDescent="0.25">
      <c r="A88" s="5" t="s">
        <v>74</v>
      </c>
      <c r="B88" s="1" t="s">
        <v>91</v>
      </c>
      <c r="C88" s="1">
        <v>-3283000</v>
      </c>
      <c r="D88" s="1">
        <v>-3653000</v>
      </c>
      <c r="E88" s="1">
        <v>-18812000</v>
      </c>
      <c r="L88" s="45" t="s">
        <v>126</v>
      </c>
      <c r="M88" s="46">
        <v>0</v>
      </c>
    </row>
    <row r="89" spans="1:13" ht="20" customHeight="1" x14ac:dyDescent="0.25">
      <c r="A89" s="14" t="s">
        <v>104</v>
      </c>
      <c r="B89" s="15" t="e">
        <f t="shared" ref="B89:E89" si="12">(-1*B88)/B3</f>
        <v>#VALUE!</v>
      </c>
      <c r="C89" s="15">
        <f t="shared" si="12"/>
        <v>3.5279831499312242E-2</v>
      </c>
      <c r="D89" s="15">
        <f t="shared" si="12"/>
        <v>1.7837001157232212E-2</v>
      </c>
      <c r="E89" s="15">
        <f t="shared" si="12"/>
        <v>4.4559298307116177E-2</v>
      </c>
      <c r="L89" s="43" t="s">
        <v>127</v>
      </c>
      <c r="M89" s="44">
        <f>E27</f>
        <v>-5613000</v>
      </c>
    </row>
    <row r="90" spans="1:13" ht="20" x14ac:dyDescent="0.25">
      <c r="A90" s="5" t="s">
        <v>75</v>
      </c>
      <c r="B90" s="1" t="s">
        <v>91</v>
      </c>
      <c r="C90" s="1" t="s">
        <v>91</v>
      </c>
      <c r="D90" s="1">
        <v>-3449000</v>
      </c>
      <c r="E90" s="1">
        <v>-281032000</v>
      </c>
      <c r="L90" s="43" t="s">
        <v>19</v>
      </c>
      <c r="M90" s="44">
        <f>E25</f>
        <v>-383998000</v>
      </c>
    </row>
    <row r="91" spans="1:13" ht="20" x14ac:dyDescent="0.25">
      <c r="A91" s="5" t="s">
        <v>76</v>
      </c>
      <c r="B91" s="1" t="s">
        <v>91</v>
      </c>
      <c r="C91" s="1" t="s">
        <v>91</v>
      </c>
      <c r="D91" s="1">
        <v>-6000000</v>
      </c>
      <c r="E91" s="1">
        <v>925185000</v>
      </c>
      <c r="L91" s="45" t="s">
        <v>128</v>
      </c>
      <c r="M91" s="46">
        <f>M89/M90</f>
        <v>1.4617263631581414E-2</v>
      </c>
    </row>
    <row r="92" spans="1:13" ht="20" x14ac:dyDescent="0.25">
      <c r="A92" s="5" t="s">
        <v>77</v>
      </c>
      <c r="B92" s="1" t="s">
        <v>91</v>
      </c>
      <c r="C92" s="1" t="s">
        <v>91</v>
      </c>
      <c r="D92" s="1" t="s">
        <v>91</v>
      </c>
      <c r="E92" s="1" t="s">
        <v>91</v>
      </c>
      <c r="L92" s="45" t="s">
        <v>129</v>
      </c>
      <c r="M92" s="46">
        <f>M88*(1-M91)</f>
        <v>0</v>
      </c>
    </row>
    <row r="93" spans="1:13" ht="19" x14ac:dyDescent="0.25">
      <c r="A93" s="5" t="s">
        <v>78</v>
      </c>
      <c r="B93" s="1" t="s">
        <v>91</v>
      </c>
      <c r="C93" s="1">
        <v>-2982000</v>
      </c>
      <c r="D93" s="1">
        <v>-6641000</v>
      </c>
      <c r="E93" s="1"/>
      <c r="L93" s="67" t="s">
        <v>130</v>
      </c>
      <c r="M93" s="67"/>
    </row>
    <row r="94" spans="1:13" ht="20" x14ac:dyDescent="0.25">
      <c r="A94" s="6" t="s">
        <v>79</v>
      </c>
      <c r="B94" s="10" t="s">
        <v>91</v>
      </c>
      <c r="C94" s="10">
        <v>-6265000</v>
      </c>
      <c r="D94" s="10">
        <v>-19743000</v>
      </c>
      <c r="E94" s="10">
        <v>-1312666000</v>
      </c>
      <c r="L94" s="43" t="s">
        <v>131</v>
      </c>
      <c r="M94" s="47">
        <f>[1]Treasuries!$C$8</f>
        <v>4.0410000000000001E-2</v>
      </c>
    </row>
    <row r="95" spans="1:13" ht="20" x14ac:dyDescent="0.25">
      <c r="A95" s="5" t="s">
        <v>80</v>
      </c>
      <c r="B95" s="1" t="s">
        <v>91</v>
      </c>
      <c r="C95" s="1">
        <v>-20000000</v>
      </c>
      <c r="D95" s="1">
        <v>-20000000</v>
      </c>
      <c r="E95" s="1">
        <v>0</v>
      </c>
      <c r="L95" s="43" t="s">
        <v>132</v>
      </c>
      <c r="M95" s="48" cm="1">
        <f t="array" ref="M95">_FV(A1,"Beta")</f>
        <v>1.8620000000000001</v>
      </c>
    </row>
    <row r="96" spans="1:13" ht="20" x14ac:dyDescent="0.25">
      <c r="A96" s="5" t="s">
        <v>81</v>
      </c>
      <c r="B96" s="1" t="s">
        <v>91</v>
      </c>
      <c r="C96" s="1" t="s">
        <v>91</v>
      </c>
      <c r="D96" s="1">
        <v>1388562000</v>
      </c>
      <c r="E96" s="1">
        <v>36494000</v>
      </c>
      <c r="L96" s="43" t="s">
        <v>133</v>
      </c>
      <c r="M96" s="47">
        <v>8.4000000000000005E-2</v>
      </c>
    </row>
    <row r="97" spans="1:13" ht="20" x14ac:dyDescent="0.25">
      <c r="A97" s="5" t="s">
        <v>82</v>
      </c>
      <c r="B97" s="1" t="s">
        <v>91</v>
      </c>
      <c r="C97" s="1" t="s">
        <v>91</v>
      </c>
      <c r="D97" s="1" t="s">
        <v>91</v>
      </c>
      <c r="E97" s="1" t="s">
        <v>91</v>
      </c>
      <c r="L97" s="45" t="s">
        <v>134</v>
      </c>
      <c r="M97" s="46">
        <f>(M94)+((M95)*(M96-M94))</f>
        <v>0.12157458000000002</v>
      </c>
    </row>
    <row r="98" spans="1:13" ht="19" x14ac:dyDescent="0.25">
      <c r="A98" s="5" t="s">
        <v>83</v>
      </c>
      <c r="B98" s="1" t="s">
        <v>91</v>
      </c>
      <c r="C98" s="1" t="s">
        <v>91</v>
      </c>
      <c r="D98" s="1" t="s">
        <v>91</v>
      </c>
      <c r="E98" s="1">
        <v>0</v>
      </c>
      <c r="L98" s="67" t="s">
        <v>135</v>
      </c>
      <c r="M98" s="67"/>
    </row>
    <row r="99" spans="1:13" ht="20" x14ac:dyDescent="0.25">
      <c r="A99" s="5" t="s">
        <v>84</v>
      </c>
      <c r="B99" s="1" t="s">
        <v>91</v>
      </c>
      <c r="C99" s="1">
        <v>443978000</v>
      </c>
      <c r="D99" s="1">
        <v>18562000</v>
      </c>
      <c r="E99" s="1">
        <v>-186000</v>
      </c>
      <c r="L99" s="43" t="s">
        <v>136</v>
      </c>
      <c r="M99" s="44">
        <f>M86+M87</f>
        <v>0</v>
      </c>
    </row>
    <row r="100" spans="1:13" ht="20" x14ac:dyDescent="0.25">
      <c r="A100" s="6" t="s">
        <v>85</v>
      </c>
      <c r="B100" s="10" t="s">
        <v>91</v>
      </c>
      <c r="C100" s="10">
        <v>423978000</v>
      </c>
      <c r="D100" s="10">
        <v>1387124000</v>
      </c>
      <c r="E100" s="10">
        <v>36308000</v>
      </c>
      <c r="L100" s="45" t="s">
        <v>137</v>
      </c>
      <c r="M100" s="46">
        <f>M99/M103</f>
        <v>0</v>
      </c>
    </row>
    <row r="101" spans="1:13" ht="20" x14ac:dyDescent="0.25">
      <c r="A101" s="5" t="s">
        <v>86</v>
      </c>
      <c r="B101" s="1" t="s">
        <v>91</v>
      </c>
      <c r="C101" s="1">
        <v>289000</v>
      </c>
      <c r="D101" s="1">
        <v>1146000</v>
      </c>
      <c r="E101" s="1">
        <v>0</v>
      </c>
      <c r="L101" s="43" t="s">
        <v>138</v>
      </c>
      <c r="M101" s="49" cm="1">
        <f t="array" ref="M101">_FV(A1,"Market cap",TRUE)</f>
        <v>4173068000</v>
      </c>
    </row>
    <row r="102" spans="1:13" ht="20" x14ac:dyDescent="0.25">
      <c r="A102" s="6" t="s">
        <v>87</v>
      </c>
      <c r="B102" s="10" t="s">
        <v>91</v>
      </c>
      <c r="C102" s="10">
        <v>351432000</v>
      </c>
      <c r="D102" s="10">
        <v>1272939000</v>
      </c>
      <c r="E102" s="10">
        <v>1469645000</v>
      </c>
      <c r="L102" s="45" t="s">
        <v>139</v>
      </c>
      <c r="M102" s="46">
        <f>M101/M103</f>
        <v>1</v>
      </c>
    </row>
    <row r="103" spans="1:13" ht="20" x14ac:dyDescent="0.25">
      <c r="A103" s="5" t="s">
        <v>88</v>
      </c>
      <c r="B103" s="1" t="s">
        <v>91</v>
      </c>
      <c r="C103" s="1">
        <v>47680000</v>
      </c>
      <c r="D103" s="1">
        <v>399112000</v>
      </c>
      <c r="E103" s="1">
        <v>1672051</v>
      </c>
      <c r="L103" s="45" t="s">
        <v>140</v>
      </c>
      <c r="M103" s="50">
        <f>M99+M101</f>
        <v>4173068000</v>
      </c>
    </row>
    <row r="104" spans="1:13" ht="20" thickBot="1" x14ac:dyDescent="0.3">
      <c r="A104" s="7" t="s">
        <v>89</v>
      </c>
      <c r="B104" s="11" t="s">
        <v>91</v>
      </c>
      <c r="C104" s="11">
        <v>399112000</v>
      </c>
      <c r="D104" s="11">
        <v>1672051000</v>
      </c>
      <c r="E104" s="11">
        <v>202406000</v>
      </c>
      <c r="L104" s="67" t="s">
        <v>141</v>
      </c>
      <c r="M104" s="67"/>
    </row>
    <row r="105" spans="1:13" ht="21" thickTop="1" x14ac:dyDescent="0.25">
      <c r="A105" s="14" t="s">
        <v>157</v>
      </c>
      <c r="C105" s="1">
        <f t="shared" ref="C105:D105" si="13">(C22*(1-$M$91))+C77+C88+C81</f>
        <v>-96603428.322543338</v>
      </c>
      <c r="D105" s="1">
        <f t="shared" si="13"/>
        <v>-203430799.40520522</v>
      </c>
      <c r="E105" s="1">
        <f>(E22*(1-$M$91))+E77+E88+E81</f>
        <v>-385782440.4762525</v>
      </c>
      <c r="F105" s="28">
        <f>E105*(1+$M$106)</f>
        <v>-504312922.2387616</v>
      </c>
      <c r="G105" s="28">
        <f t="shared" ref="G105:J105" si="14">F105*(1+$M$106)</f>
        <v>-659261534.09943771</v>
      </c>
      <c r="H105" s="28">
        <f t="shared" si="14"/>
        <v>-861817635.79195988</v>
      </c>
      <c r="I105" s="28">
        <f t="shared" si="14"/>
        <v>-1126608483.8039646</v>
      </c>
      <c r="J105" s="28">
        <f t="shared" si="14"/>
        <v>-1472755514.7008622</v>
      </c>
      <c r="K105" s="29" t="s">
        <v>160</v>
      </c>
      <c r="L105" s="51" t="s">
        <v>142</v>
      </c>
      <c r="M105" s="52">
        <f>(M100*M92)+(M102*M97)</f>
        <v>0.12157458000000002</v>
      </c>
    </row>
    <row r="106" spans="1:13" ht="19" x14ac:dyDescent="0.25">
      <c r="A106" s="14" t="s">
        <v>158</v>
      </c>
      <c r="B106" s="1"/>
      <c r="C106" s="15">
        <v>0</v>
      </c>
      <c r="D106" s="15">
        <f>(D107/C107)-1</f>
        <v>0.45372417107160024</v>
      </c>
      <c r="E106" s="15">
        <f>(E107/D107)-1</f>
        <v>0.96476266031997882</v>
      </c>
      <c r="F106" s="31">
        <v>-81510000</v>
      </c>
      <c r="G106" s="31">
        <v>44775000</v>
      </c>
      <c r="H106" s="31">
        <v>183200000</v>
      </c>
      <c r="I106" s="31">
        <v>238700000</v>
      </c>
      <c r="J106" s="31">
        <v>359500000</v>
      </c>
      <c r="K106" s="29" t="s">
        <v>161</v>
      </c>
      <c r="L106" s="53" t="s">
        <v>143</v>
      </c>
      <c r="M106" s="54">
        <f>(SUM(F4:J4)/5)</f>
        <v>0.30724695923480089</v>
      </c>
    </row>
    <row r="107" spans="1:13" ht="19" x14ac:dyDescent="0.25">
      <c r="A107" s="40" t="s">
        <v>159</v>
      </c>
      <c r="B107" s="1" t="s">
        <v>91</v>
      </c>
      <c r="C107" s="1">
        <v>-72835000</v>
      </c>
      <c r="D107" s="1">
        <v>-105882000</v>
      </c>
      <c r="E107" s="1">
        <v>-208033000</v>
      </c>
      <c r="F107" s="29"/>
      <c r="G107" s="29"/>
      <c r="H107" s="29"/>
      <c r="I107" s="29"/>
      <c r="J107" s="32">
        <f>J106*(1+M107)/(M108-M107)</f>
        <v>3815574450.3367229</v>
      </c>
      <c r="K107" s="30" t="s">
        <v>144</v>
      </c>
      <c r="L107" s="55" t="s">
        <v>145</v>
      </c>
      <c r="M107" s="56">
        <v>2.5000000000000001E-2</v>
      </c>
    </row>
    <row r="108" spans="1:13" ht="19" x14ac:dyDescent="0.25">
      <c r="F108" s="32">
        <f t="shared" ref="F108:I108" si="15">F107+F106</f>
        <v>-81510000</v>
      </c>
      <c r="G108" s="32">
        <f t="shared" si="15"/>
        <v>44775000</v>
      </c>
      <c r="H108" s="32">
        <f t="shared" si="15"/>
        <v>183200000</v>
      </c>
      <c r="I108" s="32">
        <f t="shared" si="15"/>
        <v>238700000</v>
      </c>
      <c r="J108" s="32">
        <f>J107+J106</f>
        <v>4175074450.3367229</v>
      </c>
      <c r="K108" s="30" t="s">
        <v>140</v>
      </c>
      <c r="L108" s="57" t="s">
        <v>146</v>
      </c>
      <c r="M108" s="54">
        <f>M105</f>
        <v>0.12157458000000002</v>
      </c>
    </row>
    <row r="109" spans="1:13" ht="19" x14ac:dyDescent="0.25">
      <c r="F109" s="64" t="s">
        <v>147</v>
      </c>
      <c r="G109" s="64"/>
    </row>
    <row r="110" spans="1:13" ht="20" x14ac:dyDescent="0.25">
      <c r="F110" s="58" t="s">
        <v>148</v>
      </c>
      <c r="G110" s="49">
        <f>NPV(M108,F108,G108,H108,I108,J108)</f>
        <v>2596083820.9222975</v>
      </c>
    </row>
    <row r="111" spans="1:13" ht="20" x14ac:dyDescent="0.25">
      <c r="F111" s="58" t="s">
        <v>149</v>
      </c>
      <c r="G111" s="49">
        <f>E40</f>
        <v>623525000</v>
      </c>
    </row>
    <row r="112" spans="1:13" ht="20" x14ac:dyDescent="0.25">
      <c r="F112" s="58" t="s">
        <v>136</v>
      </c>
      <c r="G112" s="49">
        <f>M99</f>
        <v>0</v>
      </c>
    </row>
    <row r="113" spans="6:7" ht="20" x14ac:dyDescent="0.25">
      <c r="F113" s="58" t="s">
        <v>150</v>
      </c>
      <c r="G113" s="49">
        <f>G110+G111-G112</f>
        <v>3219608820.9222975</v>
      </c>
    </row>
    <row r="114" spans="6:7" ht="20" x14ac:dyDescent="0.25">
      <c r="F114" s="58" t="s">
        <v>162</v>
      </c>
      <c r="G114" s="58">
        <f>E34*(1+(5*0.05))</f>
        <v>347253576.25</v>
      </c>
    </row>
    <row r="115" spans="6:7" ht="20" x14ac:dyDescent="0.25">
      <c r="F115" s="59" t="s">
        <v>151</v>
      </c>
      <c r="G115" s="60">
        <f>G113/G114</f>
        <v>9.2716361792178876</v>
      </c>
    </row>
    <row r="116" spans="6:7" ht="20" x14ac:dyDescent="0.25">
      <c r="F116" s="58" t="s">
        <v>152</v>
      </c>
      <c r="G116" s="61" cm="1">
        <f t="array" ref="G116">_FV(A1,"Price")</f>
        <v>14.29</v>
      </c>
    </row>
    <row r="117" spans="6:7" ht="20" x14ac:dyDescent="0.25">
      <c r="F117" s="59" t="s">
        <v>153</v>
      </c>
      <c r="G117" s="62">
        <f>G115/G116-1</f>
        <v>-0.35118011342072164</v>
      </c>
    </row>
    <row r="118" spans="6:7" ht="20" x14ac:dyDescent="0.25">
      <c r="F118" s="59" t="s">
        <v>154</v>
      </c>
      <c r="G118" s="63" t="str">
        <f>IF(G115&gt;G116,"BUY","SELL")</f>
        <v>SELL</v>
      </c>
    </row>
  </sheetData>
  <mergeCells count="6">
    <mergeCell ref="F109:G109"/>
    <mergeCell ref="L83:M83"/>
    <mergeCell ref="L84:M84"/>
    <mergeCell ref="L93:M93"/>
    <mergeCell ref="L98:M98"/>
    <mergeCell ref="L104:M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74" r:id="rId5" tooltip="https://www.sec.gov/Archives/edgar/data/1583708/000158370822000016/0001583708-22-000016-index.htm" xr:uid="{00000000-0004-0000-0000-000008000000}"/>
    <hyperlink ref="D36" r:id="rId6" tooltip="https://www.sec.gov/Archives/edgar/data/1583708/000158370822000016/0001583708-22-000016-index.htm" xr:uid="{00000000-0004-0000-0000-000007000000}"/>
    <hyperlink ref="E74" r:id="rId7" tooltip="https://www.sec.gov/Archives/edgar/data/1583708/000158370822000016/0001583708-22-000016-index.htm" xr:uid="{1D22E1A5-AED1-B946-BE91-8DEF993AEF75}"/>
    <hyperlink ref="E36" r:id="rId8" tooltip="https://www.sec.gov/Archives/edgar/data/1583708/000158370822000016/0001583708-22-000016-index.htm" xr:uid="{D1B1AF4A-1754-5C40-89FA-4EB09B3A792F}"/>
    <hyperlink ref="F1" r:id="rId9" display="https://finbox.com/NYSE:S/explorer/revenue_proj" xr:uid="{A5E4CC53-B047-AF46-AC55-7997D2499D6B}"/>
    <hyperlink ref="K106" r:id="rId10" xr:uid="{D898F9F4-5431-3849-A47F-46FB022D4D5C}"/>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2023-01-11T14:57:11Z</dcterms:created>
  <dcterms:modified xsi:type="dcterms:W3CDTF">2023-07-09T11:28:21Z</dcterms:modified>
</cp:coreProperties>
</file>