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168CF5C-B731-6444-BBD5-EA1E674E19A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 i="1" l="1"/>
  <c r="S7" i="1"/>
  <c r="T7" i="1"/>
  <c r="R7" i="1"/>
  <c r="N114" i="1"/>
  <c r="C105" i="1"/>
  <c r="D105" i="1"/>
  <c r="E105" i="1"/>
  <c r="F105" i="1"/>
  <c r="G105" i="1"/>
  <c r="H105" i="1"/>
  <c r="I105" i="1"/>
  <c r="J105" i="1"/>
  <c r="K105" i="1"/>
  <c r="N30" i="1" l="1"/>
  <c r="O30" i="1"/>
  <c r="P30" i="1"/>
  <c r="Q30" i="1"/>
  <c r="M30" i="1"/>
  <c r="L30" i="1"/>
  <c r="L29" i="1"/>
  <c r="M29" i="1"/>
  <c r="N29" i="1"/>
  <c r="O29" i="1"/>
  <c r="P29" i="1"/>
  <c r="Q29" i="1"/>
  <c r="M20" i="1"/>
  <c r="N20" i="1"/>
  <c r="O20" i="1"/>
  <c r="P20" i="1"/>
  <c r="Q20" i="1"/>
  <c r="M21" i="1"/>
  <c r="N21" i="1"/>
  <c r="O21" i="1"/>
  <c r="P21" i="1"/>
  <c r="Q21" i="1"/>
  <c r="M4" i="1"/>
  <c r="L106" i="1"/>
  <c r="L21" i="1"/>
  <c r="L4" i="1"/>
  <c r="L20" i="1"/>
  <c r="T85" i="1"/>
  <c r="N116" i="1" a="1"/>
  <c r="N116" i="1" s="1"/>
  <c r="T101" i="1" a="1"/>
  <c r="T101" i="1" s="1"/>
  <c r="T95" i="1" a="1"/>
  <c r="T95" i="1" s="1"/>
  <c r="N111" i="1"/>
  <c r="T90" i="1"/>
  <c r="T89" i="1"/>
  <c r="T91" i="1" s="1"/>
  <c r="T87" i="1"/>
  <c r="T86" i="1"/>
  <c r="R19" i="1"/>
  <c r="U13" i="1"/>
  <c r="T13" i="1"/>
  <c r="S13" i="1"/>
  <c r="R13"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19" i="1" l="1"/>
  <c r="T16" i="1"/>
  <c r="U16" i="1"/>
  <c r="U22" i="1"/>
  <c r="T22" i="1"/>
  <c r="T99" i="1"/>
  <c r="N112" i="1" s="1"/>
  <c r="R4" i="1"/>
  <c r="S19" i="1"/>
  <c r="T4" i="1"/>
  <c r="S4" i="1"/>
  <c r="U4" i="1"/>
  <c r="S16" i="1"/>
  <c r="R16" i="1"/>
  <c r="T88" i="1"/>
  <c r="T92" i="1"/>
  <c r="T106" i="1"/>
  <c r="M105" i="1" s="1"/>
  <c r="N105" i="1" s="1"/>
  <c r="O105" i="1" s="1"/>
  <c r="P105" i="1" s="1"/>
  <c r="Q105" i="1" s="1"/>
  <c r="T103" i="1"/>
  <c r="T100" i="1" s="1"/>
  <c r="T102" i="1" l="1"/>
  <c r="U19" i="1" l="1"/>
  <c r="M108" i="1"/>
  <c r="N108" i="1"/>
  <c r="O108" i="1"/>
  <c r="P108" i="1" l="1"/>
  <c r="T94" i="1" l="1"/>
  <c r="T97" i="1" s="1"/>
  <c r="T105" i="1" s="1"/>
  <c r="T108" i="1" s="1"/>
  <c r="Q107" i="1" s="1"/>
  <c r="Q108" i="1" s="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<sst xmlns="http://schemas.openxmlformats.org/spreadsheetml/2006/main" count="420" uniqueCount="167">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</sst>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3" xfId="0" applyNumberFormat="1" applyFont="1" applyBorder="1"/>
    <xf numFmtId="164" fontId="13" fillId="0" borderId="3" xfId="0" applyNumberFormat="1" applyFont="1" applyBorder="1"/>
    <xf numFmtId="165" fontId="10" fillId="0" borderId="0" xfId="0" applyNumberFormat="1" applyFont="1"/>
    <xf numFmtId="165" fontId="10" fillId="0" borderId="12" xfId="0" applyNumberFormat="1" applyFont="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Twilio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5675107986516104"/>
          <c:w val="0.86120529801324508"/>
          <c:h val="0.693517764903420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1'!$B$107:$K$107</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424873546435836"/>
          <c:y val="0.90520685132254108"/>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17463</xdr:rowOff>
    </xdr:from>
    <xdr:to>
      <xdr:col>20</xdr:col>
      <xdr:colOff>0</xdr:colOff>
      <xdr:row>124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98.67</v>
    <v>41</v>
    <v>1.3738999999999999</v>
    <v>0.5</v>
    <v>8.071E-3</v>
    <v>-0.01</v>
    <v>-1.6009999999999999E-4</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64.266999999999996</v>
    <v>Software &amp; IT Services</v>
    <v>Stock</v>
    <v>45114.999113680467</v>
    <v>0</v>
    <v>61.9</v>
    <v>11486530000</v>
    <v>TWILIO INC.</v>
    <v>TWILIO INC.</v>
    <v>62.11</v>
    <v>61.95</v>
    <v>62.45</v>
    <v>62.44</v>
    <v>183931600</v>
    <v>TWLO</v>
    <v>TWILIO INC. (XNYS:TWLO)</v>
    <v>2711386</v>
    <v>3764860</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hyperlink" Target="https://finbox.com/NYSE:TWLO/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models/dcf-revenue-exit-5yr/"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J76" activePane="bottomRight" state="frozen"/>
      <selection pane="topRight"/>
      <selection pane="bottomLeft"/>
      <selection pane="bottomRight" activeCell="O98" sqref="O98"/>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6">
        <v>2023</v>
      </c>
      <c r="M1" s="26">
        <v>2024</v>
      </c>
      <c r="N1" s="26">
        <v>2025</v>
      </c>
      <c r="O1" s="26">
        <v>2026</v>
      </c>
      <c r="P1" s="26">
        <v>2027</v>
      </c>
      <c r="Q1" s="26">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7">
        <v>4085000000</v>
      </c>
      <c r="M3" s="27">
        <v>4483000000</v>
      </c>
      <c r="N3" s="27">
        <v>5420000000</v>
      </c>
      <c r="O3" s="27">
        <v>6648000000</v>
      </c>
      <c r="P3" s="27">
        <v>8060000000</v>
      </c>
      <c r="Q3" s="27">
        <v>9000000000</v>
      </c>
      <c r="R3" s="18" t="s">
        <v>107</v>
      </c>
      <c r="S3" s="19" t="s">
        <v>108</v>
      </c>
      <c r="T3" s="19" t="s">
        <v>109</v>
      </c>
      <c r="U3" s="19" t="s">
        <v>110</v>
      </c>
    </row>
    <row r="4" spans="1:43" ht="19" x14ac:dyDescent="0.25">
      <c r="A4" s="14" t="s">
        <v>93</v>
      </c>
      <c r="B4" s="1"/>
      <c r="C4" s="15">
        <f>(C3/B3)-1</f>
        <v>0.77976762820512824</v>
      </c>
      <c r="D4" s="15">
        <f>(D3/C3)-1</f>
        <v>0.87874524458051018</v>
      </c>
      <c r="E4" s="15">
        <f>(E3/D3)-1</f>
        <v>0.66149449733104082</v>
      </c>
      <c r="F4" s="15">
        <f t="shared" ref="F4:Q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6.7605148653236302E-2</v>
      </c>
      <c r="M4" s="16">
        <f>(M3/L3)-1</f>
        <v>9.7429620563035391E-2</v>
      </c>
      <c r="N4" s="16">
        <f t="shared" si="0"/>
        <v>0.20901182244033012</v>
      </c>
      <c r="O4" s="16">
        <f t="shared" si="0"/>
        <v>0.22656826568265687</v>
      </c>
      <c r="P4" s="16">
        <f t="shared" si="0"/>
        <v>0.21239470517448855</v>
      </c>
      <c r="Q4" s="16">
        <f t="shared" si="0"/>
        <v>0.11662531017369737</v>
      </c>
      <c r="R4" s="17">
        <f>(K4+J4+L4)/3</f>
        <v>0.34236098354484623</v>
      </c>
      <c r="S4" s="17">
        <f>(K20+J20+L20)/3</f>
        <v>-0.11744063490867673</v>
      </c>
      <c r="T4" s="17">
        <f>(K29+J29+L29)/3</f>
        <v>1.514122510145636E-2</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39">
        <v>1813577000</v>
      </c>
      <c r="L6" s="39"/>
      <c r="R6" s="18" t="s">
        <v>111</v>
      </c>
      <c r="S6" s="19" t="s">
        <v>112</v>
      </c>
      <c r="T6" s="19" t="s">
        <v>113</v>
      </c>
      <c r="U6" s="19"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c r="R7" s="17">
        <f>K7</f>
        <v>0.47399999999999998</v>
      </c>
      <c r="S7" s="20">
        <f>K21</f>
        <v>-0.24340000000000001</v>
      </c>
      <c r="T7" s="20">
        <f>K30</f>
        <v>-0.32829999999999998</v>
      </c>
      <c r="U7" s="20">
        <f>L107/L3</f>
        <v>0.12998776009791921</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2.0955377240958091E-2</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37">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28">
        <f>(K35+J35+I35+H35+G35)/5</f>
        <v>0.15582766145973298</v>
      </c>
      <c r="S16" s="35">
        <f>T101/L3</f>
        <v>2.8118800489596083</v>
      </c>
      <c r="T16" s="35">
        <f>T101/L28</f>
        <v>43.198683715682584</v>
      </c>
      <c r="U16" s="36">
        <f>T101/L107</f>
        <v>21.631883239171376</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33">
        <v>613100000</v>
      </c>
      <c r="M19" s="33">
        <v>712000000</v>
      </c>
      <c r="N19" s="33">
        <v>974700000</v>
      </c>
      <c r="O19" s="33">
        <v>884800000</v>
      </c>
      <c r="P19" s="33">
        <v>1210000000</v>
      </c>
      <c r="Q19" s="33">
        <v>1500000000</v>
      </c>
      <c r="R19" s="29">
        <f>K40-K56-K61</f>
        <v>2927624000</v>
      </c>
      <c r="S19" s="35">
        <f>T101/M3</f>
        <v>2.562241802364488</v>
      </c>
      <c r="T19" s="38">
        <f>T101/M28</f>
        <v>33.313602088167052</v>
      </c>
      <c r="U19" s="36">
        <f>T101/M106</f>
        <v>18.824205178629956</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-1.6582987952842141</v>
      </c>
      <c r="M20" s="16">
        <f t="shared" ref="M20" si="4">(M19/L19)-1</f>
        <v>0.16131136845539062</v>
      </c>
      <c r="N20" s="16">
        <f t="shared" ref="N20" si="5">(N19/M19)-1</f>
        <v>0.36896067415730327</v>
      </c>
      <c r="O20" s="16">
        <f t="shared" ref="O20" si="6">(O19/N19)-1</f>
        <v>-9.2233507745973164E-2</v>
      </c>
      <c r="P20" s="16">
        <f t="shared" ref="P20" si="7">(P19/O19)-1</f>
        <v>0.36754068716094035</v>
      </c>
      <c r="Q20" s="16">
        <f t="shared" ref="Q20" si="8">(Q19/P19)-1</f>
        <v>0.2396694214876034</v>
      </c>
      <c r="R20" s="15"/>
      <c r="S20" s="15"/>
      <c r="T20" s="15"/>
      <c r="U20" s="15"/>
      <c r="AI20" s="15"/>
      <c r="AJ20" s="15"/>
      <c r="AK20" s="15"/>
      <c r="AL20" s="15"/>
      <c r="AM20" s="15"/>
      <c r="AU20" s="15"/>
      <c r="AV20" s="15"/>
    </row>
    <row r="21" spans="1:48" ht="20"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41">
        <f>L19/L3</f>
        <v>0.15008567931456548</v>
      </c>
      <c r="M21" s="42">
        <f t="shared" ref="M21:Q21" si="9">M19/M3</f>
        <v>0.15882221726522419</v>
      </c>
      <c r="N21" s="42">
        <f t="shared" si="9"/>
        <v>0.17983394833948341</v>
      </c>
      <c r="O21" s="42">
        <f t="shared" si="9"/>
        <v>0.13309265944645007</v>
      </c>
      <c r="P21" s="42">
        <f t="shared" si="9"/>
        <v>0.15012406947890819</v>
      </c>
      <c r="Q21" s="42">
        <f t="shared" si="9"/>
        <v>0.16666666666666666</v>
      </c>
      <c r="T21" s="18" t="s">
        <v>165</v>
      </c>
      <c r="U21" s="19" t="s">
        <v>166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c r="T22" s="46">
        <f>(-1*L98)/T101</f>
        <v>0</v>
      </c>
      <c r="U22" s="47">
        <f>L107/T101</f>
        <v>4.6228060171348527E-2</v>
      </c>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34"/>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40">
        <v>265900000</v>
      </c>
      <c r="M28" s="40">
        <v>344800000</v>
      </c>
      <c r="N28" s="40">
        <v>520800000</v>
      </c>
      <c r="O28" s="40">
        <v>818400000</v>
      </c>
      <c r="P28" s="40">
        <v>726000000</v>
      </c>
      <c r="Q28" s="40">
        <v>1000000000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-1.2116793841475308</v>
      </c>
      <c r="M29" s="16">
        <f t="shared" ref="M29" si="12">(M28/L28)-1</f>
        <v>0.29672809326814598</v>
      </c>
      <c r="N29" s="16">
        <f t="shared" ref="N29" si="13">(N28/M28)-1</f>
        <v>0.51044083526682127</v>
      </c>
      <c r="O29" s="16">
        <f t="shared" ref="O29" si="14">(O28/N28)-1</f>
        <v>0.5714285714285714</v>
      </c>
      <c r="P29" s="16">
        <f t="shared" ref="P29" si="15">(P28/O28)-1</f>
        <v>-0.11290322580645162</v>
      </c>
      <c r="Q29" s="16">
        <f t="shared" ref="Q29" si="16">(Q28/P28)-1</f>
        <v>0.37741046831955916</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41">
        <f>L28/L3</f>
        <v>6.5091799265605876E-2</v>
      </c>
      <c r="M30" s="41">
        <f>M28/M3</f>
        <v>7.6912781619451254E-2</v>
      </c>
      <c r="N30" s="41">
        <f t="shared" ref="N30:Q30" si="17">N28/N3</f>
        <v>9.6088560885608854E-2</v>
      </c>
      <c r="O30" s="41">
        <f t="shared" si="17"/>
        <v>0.12310469314079422</v>
      </c>
      <c r="P30" s="41">
        <f t="shared" si="17"/>
        <v>9.0074441687344908E-2</v>
      </c>
      <c r="Q30" s="41">
        <f t="shared" si="17"/>
        <v>0.1111111111111111</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row>
    <row r="35" spans="1:39" ht="20" customHeight="1" x14ac:dyDescent="0.25">
      <c r="A35" s="14" t="s">
        <v>102</v>
      </c>
      <c r="B35" s="1"/>
      <c r="C35" s="21">
        <f>(C34-B34)/B34</f>
        <v>0.21201055076704345</v>
      </c>
      <c r="D35" s="21">
        <f t="shared" ref="D35:K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21" x14ac:dyDescent="0.25">
      <c r="A83" s="5" t="s">
        <v>34</v>
      </c>
      <c r="B83" s="1" t="s">
        <v>91</v>
      </c>
      <c r="C83" s="1" t="s">
        <v>91</v>
      </c>
      <c r="D83" s="1" t="s">
        <v>91</v>
      </c>
      <c r="E83" s="1" t="s">
        <v>91</v>
      </c>
      <c r="F83" s="1" t="s">
        <v>91</v>
      </c>
      <c r="G83" s="1" t="s">
        <v>91</v>
      </c>
      <c r="H83" s="1" t="s">
        <v>91</v>
      </c>
      <c r="I83" s="1" t="s">
        <v>91</v>
      </c>
      <c r="J83" s="1" t="s">
        <v>91</v>
      </c>
      <c r="K83" s="1" t="s">
        <v>91</v>
      </c>
      <c r="L83" s="1"/>
      <c r="S83" s="70" t="s">
        <v>124</v>
      </c>
      <c r="T83" s="71"/>
    </row>
    <row r="84" spans="1:47" ht="19" x14ac:dyDescent="0.25">
      <c r="A84" s="5" t="s">
        <v>47</v>
      </c>
      <c r="B84" s="1">
        <v>-1401000</v>
      </c>
      <c r="C84" s="1">
        <v>1227000</v>
      </c>
      <c r="D84" s="1">
        <v>658000</v>
      </c>
      <c r="E84" s="1">
        <v>1714000</v>
      </c>
      <c r="F84" s="1">
        <v>5433000</v>
      </c>
      <c r="G84" s="1">
        <v>6980000</v>
      </c>
      <c r="H84" s="1">
        <v>17255000</v>
      </c>
      <c r="I84" s="1">
        <v>10060000</v>
      </c>
      <c r="J84" s="1">
        <v>10191000</v>
      </c>
      <c r="K84" s="1">
        <v>30336000</v>
      </c>
      <c r="L84" s="1"/>
      <c r="S84" s="72" t="s">
        <v>125</v>
      </c>
      <c r="T84" s="72"/>
    </row>
    <row r="85" spans="1:47" ht="20" x14ac:dyDescent="0.25">
      <c r="A85" s="5" t="s">
        <v>71</v>
      </c>
      <c r="B85" s="1">
        <v>1014000</v>
      </c>
      <c r="C85" s="1">
        <v>1632000</v>
      </c>
      <c r="D85" s="1">
        <v>1974000</v>
      </c>
      <c r="E85" s="1">
        <v>4076000</v>
      </c>
      <c r="F85" s="1">
        <v>3560000</v>
      </c>
      <c r="G85" s="1">
        <v>5958000</v>
      </c>
      <c r="H85" s="1">
        <v>2968000</v>
      </c>
      <c r="I85" s="1">
        <v>13824000</v>
      </c>
      <c r="J85" s="1">
        <v>45634000</v>
      </c>
      <c r="K85" s="1" t="s">
        <v>91</v>
      </c>
      <c r="L85" s="1"/>
      <c r="S85" s="55" t="s">
        <v>126</v>
      </c>
      <c r="T85" s="56">
        <f>K17</f>
        <v>0</v>
      </c>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S86" s="55" t="s">
        <v>127</v>
      </c>
      <c r="T86" s="56">
        <f>K56</f>
        <v>54222000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S87" s="55" t="s">
        <v>128</v>
      </c>
      <c r="T87" s="56">
        <f>K61</f>
        <v>1173223000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-80182000</v>
      </c>
      <c r="L88" s="1"/>
      <c r="S88" s="57" t="s">
        <v>129</v>
      </c>
      <c r="T88" s="58">
        <f>T85/(T86+T87)</f>
        <v>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2.0955377240958091E-2</v>
      </c>
      <c r="L89" s="15"/>
      <c r="S89" s="55" t="s">
        <v>105</v>
      </c>
      <c r="T89" s="56">
        <f>K27</f>
        <v>12513000</v>
      </c>
      <c r="U89" s="15"/>
      <c r="AI89" s="15"/>
      <c r="AJ89" s="15"/>
      <c r="AK89" s="15"/>
      <c r="AL89" s="15"/>
      <c r="AM89" s="15"/>
      <c r="AT89" s="22" t="s">
        <v>105</v>
      </c>
      <c r="AU89" s="23">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S90" s="55" t="s">
        <v>19</v>
      </c>
      <c r="T90" s="56">
        <f>K25</f>
        <v>-1243632000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S91" s="57" t="s">
        <v>130</v>
      </c>
      <c r="T91" s="58">
        <f>T89/T90</f>
        <v>-1.0061658111081092E-2</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S92" s="57" t="s">
        <v>131</v>
      </c>
      <c r="T92" s="58">
        <f>T88*(1-T91)</f>
        <v>0</v>
      </c>
    </row>
    <row r="93" spans="1:47" ht="19" x14ac:dyDescent="0.25">
      <c r="A93" s="5" t="s">
        <v>78</v>
      </c>
      <c r="B93" s="1" t="s">
        <v>91</v>
      </c>
      <c r="C93" s="1">
        <v>-170000</v>
      </c>
      <c r="D93" s="1" t="s">
        <v>91</v>
      </c>
      <c r="E93" s="1">
        <v>-7439000</v>
      </c>
      <c r="F93" s="1">
        <v>3118000</v>
      </c>
      <c r="G93" s="1" t="s">
        <v>91</v>
      </c>
      <c r="H93" s="1" t="s">
        <v>91</v>
      </c>
      <c r="I93" s="1">
        <v>-33328000</v>
      </c>
      <c r="J93" s="1">
        <v>-43973000</v>
      </c>
      <c r="K93" s="1">
        <v>-80182000</v>
      </c>
      <c r="L93" s="1"/>
      <c r="S93" s="72" t="s">
        <v>132</v>
      </c>
      <c r="T93" s="72"/>
    </row>
    <row r="94" spans="1:47"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S94" s="55" t="s">
        <v>133</v>
      </c>
      <c r="T94" s="59">
        <f>[1]Treasuries!$C$8</f>
        <v>4.0410000000000001E-2</v>
      </c>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S95" s="55" t="s">
        <v>134</v>
      </c>
      <c r="T95" s="60" cm="1">
        <f t="array" ref="T95">_FV(A1,"Beta")</f>
        <v>1.3738999999999999</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S96" s="55" t="s">
        <v>135</v>
      </c>
      <c r="T96" s="59">
        <v>8.4000000000000005E-2</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S97" s="57" t="s">
        <v>136</v>
      </c>
      <c r="T97" s="58">
        <f>(T94)+((T95)*(T96-T94))</f>
        <v>0.10029830100000001</v>
      </c>
    </row>
    <row r="98" spans="1:47" ht="19" x14ac:dyDescent="0.25">
      <c r="A98" s="5" t="s">
        <v>83</v>
      </c>
      <c r="B98" s="1" t="s">
        <v>91</v>
      </c>
      <c r="C98" s="1" t="s">
        <v>91</v>
      </c>
      <c r="D98" s="1" t="s">
        <v>91</v>
      </c>
      <c r="E98" s="1" t="s">
        <v>91</v>
      </c>
      <c r="F98" s="1" t="s">
        <v>91</v>
      </c>
      <c r="G98" s="1" t="s">
        <v>91</v>
      </c>
      <c r="H98" s="1" t="s">
        <v>91</v>
      </c>
      <c r="I98" s="1" t="s">
        <v>91</v>
      </c>
      <c r="J98" s="1" t="s">
        <v>91</v>
      </c>
      <c r="K98" s="1" t="s">
        <v>91</v>
      </c>
      <c r="L98" s="1"/>
      <c r="S98" s="72" t="s">
        <v>137</v>
      </c>
      <c r="T98" s="72"/>
    </row>
    <row r="99" spans="1:47" ht="20"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S99" s="55" t="s">
        <v>138</v>
      </c>
      <c r="T99" s="56">
        <f>T86+T87</f>
        <v>1227445000</v>
      </c>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S100" s="57" t="s">
        <v>139</v>
      </c>
      <c r="T100" s="58">
        <f>T99/T103</f>
        <v>9.6542977314333242E-2</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S101" s="55" t="s">
        <v>140</v>
      </c>
      <c r="T101" s="49" cm="1">
        <f t="array" ref="T101">_FV(A1,"Market cap",TRUE)</f>
        <v>11486530000</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S102" s="57" t="s">
        <v>141</v>
      </c>
      <c r="T102" s="58">
        <f>T101/T103</f>
        <v>0.90345702268566674</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S103" s="57" t="s">
        <v>142</v>
      </c>
      <c r="T103" s="61">
        <f>T99+T101</f>
        <v>12713975000</v>
      </c>
    </row>
    <row r="104" spans="1:47"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S104" s="72" t="s">
        <v>143</v>
      </c>
      <c r="T104" s="72"/>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-841211400</v>
      </c>
      <c r="L105" s="27">
        <v>531000000</v>
      </c>
      <c r="M105" s="30">
        <f>L105*(1+$T$106)</f>
        <v>622547556.69243288</v>
      </c>
      <c r="N105" s="30">
        <f t="shared" ref="N105:Q105" si="22">M105*(1+$T$106)</f>
        <v>729878456.39118254</v>
      </c>
      <c r="O105" s="30">
        <f t="shared" si="22"/>
        <v>855713841.25946343</v>
      </c>
      <c r="P105" s="30">
        <f t="shared" si="22"/>
        <v>1003243994.5460929</v>
      </c>
      <c r="Q105" s="30">
        <f t="shared" si="22"/>
        <v>1176209223.2976019</v>
      </c>
      <c r="R105" s="31" t="s">
        <v>163</v>
      </c>
      <c r="S105" s="62" t="s">
        <v>106</v>
      </c>
      <c r="T105" s="63">
        <f>(T100*T92)+(T102*T97)</f>
        <v>9.0615204401890831E-2</v>
      </c>
      <c r="U105" s="15"/>
      <c r="AI105" s="15"/>
      <c r="AJ105" s="15"/>
      <c r="AK105" s="15"/>
      <c r="AL105" s="15"/>
      <c r="AM105" s="15"/>
      <c r="AN105" s="15"/>
      <c r="AO105" s="15"/>
      <c r="AP105" s="15"/>
      <c r="AQ105" s="15"/>
      <c r="AR105" s="15"/>
      <c r="AS105" s="15"/>
      <c r="AT105" s="24" t="s">
        <v>106</v>
      </c>
      <c r="AU105" s="25">
        <f>(AU100*AU92)+(AU102*AU97)</f>
        <v>0</v>
      </c>
    </row>
    <row r="106" spans="1:47" ht="19" x14ac:dyDescent="0.25">
      <c r="A106" s="14" t="s">
        <v>161</v>
      </c>
      <c r="B106" s="1"/>
      <c r="C106" s="15">
        <f t="shared" ref="C106:L106" si="23">(C107/B107)-1</f>
        <v>-0.13592084068420651</v>
      </c>
      <c r="D106" s="15">
        <f t="shared" si="23"/>
        <v>0.30403905903240114</v>
      </c>
      <c r="E106" s="15">
        <f t="shared" si="23"/>
        <v>-0.44196732471068756</v>
      </c>
      <c r="F106" s="15">
        <f t="shared" si="23"/>
        <v>0.83458371454711799</v>
      </c>
      <c r="G106" s="15">
        <f t="shared" si="23"/>
        <v>-0.44570782631823924</v>
      </c>
      <c r="H106" s="15">
        <f t="shared" si="23"/>
        <v>2.1934980806142033</v>
      </c>
      <c r="I106" s="15">
        <f t="shared" si="23"/>
        <v>-0.50266706735284172</v>
      </c>
      <c r="J106" s="15">
        <f t="shared" si="23"/>
        <v>4.5973790551002685</v>
      </c>
      <c r="K106" s="15">
        <f t="shared" si="23"/>
        <v>1.0249843131169332</v>
      </c>
      <c r="L106" s="15">
        <f t="shared" si="23"/>
        <v>-2.7692392271323332</v>
      </c>
      <c r="M106" s="44">
        <v>610200000</v>
      </c>
      <c r="N106" s="44">
        <v>804300000</v>
      </c>
      <c r="O106" s="44">
        <v>1233000000</v>
      </c>
      <c r="P106" s="44">
        <v>1491000000</v>
      </c>
      <c r="Q106" s="44">
        <v>1670000000</v>
      </c>
      <c r="R106" s="31" t="s">
        <v>164</v>
      </c>
      <c r="S106" s="64" t="s">
        <v>144</v>
      </c>
      <c r="T106" s="65">
        <f>(SUM(M4:Q4)/5)</f>
        <v>0.17240594480684165</v>
      </c>
    </row>
    <row r="107" spans="1:47" ht="19" x14ac:dyDescent="0.25">
      <c r="A107" s="43" t="s">
        <v>162</v>
      </c>
      <c r="B107" s="1">
        <v>-26074000</v>
      </c>
      <c r="C107" s="1">
        <v>-22530000</v>
      </c>
      <c r="D107" s="1">
        <v>-29380000</v>
      </c>
      <c r="E107" s="1">
        <v>-16395000</v>
      </c>
      <c r="F107" s="1">
        <v>-30078000</v>
      </c>
      <c r="G107" s="1">
        <v>-16672000</v>
      </c>
      <c r="H107" s="1">
        <v>-53242000</v>
      </c>
      <c r="I107" s="1">
        <v>-26479000</v>
      </c>
      <c r="J107" s="1">
        <v>-148213000</v>
      </c>
      <c r="K107" s="1">
        <v>-300129000</v>
      </c>
      <c r="L107" s="27">
        <v>531000000</v>
      </c>
      <c r="M107" s="31"/>
      <c r="N107" s="31"/>
      <c r="O107" s="31"/>
      <c r="P107" s="31"/>
      <c r="Q107" s="45">
        <f>Q106*(1+T107)/(T108-T107)</f>
        <v>26087703537.667744</v>
      </c>
      <c r="R107" s="32" t="s">
        <v>145</v>
      </c>
      <c r="S107" s="66" t="s">
        <v>146</v>
      </c>
      <c r="T107" s="67">
        <v>2.5000000000000001E-2</v>
      </c>
    </row>
    <row r="108" spans="1:47" ht="19" x14ac:dyDescent="0.25">
      <c r="M108" s="45">
        <f t="shared" ref="M108:O108" si="24">M107+M106</f>
        <v>610200000</v>
      </c>
      <c r="N108" s="45">
        <f t="shared" si="24"/>
        <v>804300000</v>
      </c>
      <c r="O108" s="45">
        <f t="shared" si="24"/>
        <v>1233000000</v>
      </c>
      <c r="P108" s="45">
        <f>P107+P106</f>
        <v>1491000000</v>
      </c>
      <c r="Q108" s="45">
        <f>Q107+Q106</f>
        <v>27757703537.667744</v>
      </c>
      <c r="R108" s="32" t="s">
        <v>142</v>
      </c>
      <c r="S108" s="68" t="s">
        <v>147</v>
      </c>
      <c r="T108" s="65">
        <f>T105</f>
        <v>9.0615204401890831E-2</v>
      </c>
    </row>
    <row r="109" spans="1:47" ht="19" x14ac:dyDescent="0.25">
      <c r="M109" s="69" t="s">
        <v>148</v>
      </c>
      <c r="N109" s="69"/>
    </row>
    <row r="110" spans="1:47" ht="20" x14ac:dyDescent="0.25">
      <c r="M110" s="48" t="s">
        <v>149</v>
      </c>
      <c r="N110" s="49">
        <f>NPV(T108,M108,N108,O108,P108,Q108)</f>
        <v>21229850609.517429</v>
      </c>
    </row>
    <row r="111" spans="1:47" ht="20" x14ac:dyDescent="0.25">
      <c r="M111" s="48" t="s">
        <v>150</v>
      </c>
      <c r="N111" s="49">
        <f>K40</f>
        <v>4155069000</v>
      </c>
    </row>
    <row r="112" spans="1:47" ht="20" x14ac:dyDescent="0.25">
      <c r="M112" s="48" t="s">
        <v>138</v>
      </c>
      <c r="N112" s="49">
        <f>T99</f>
        <v>1227445000</v>
      </c>
    </row>
    <row r="113" spans="13:14" ht="20" x14ac:dyDescent="0.25">
      <c r="M113" s="48" t="s">
        <v>151</v>
      </c>
      <c r="N113" s="49">
        <f>N110+N111-N112</f>
        <v>24157474609.517429</v>
      </c>
    </row>
    <row r="114" spans="13:14" ht="20" x14ac:dyDescent="0.25">
      <c r="M114" s="48" t="s">
        <v>152</v>
      </c>
      <c r="N114" s="48">
        <f>K34*(1+(5*R16))</f>
        <v>325571703.01306754</v>
      </c>
    </row>
    <row r="115" spans="13:14" ht="20" x14ac:dyDescent="0.25">
      <c r="M115" s="50" t="s">
        <v>153</v>
      </c>
      <c r="N115" s="51">
        <f>N113/N114</f>
        <v>74.2001666175141</v>
      </c>
    </row>
    <row r="116" spans="13:14" ht="20" x14ac:dyDescent="0.25">
      <c r="M116" s="48" t="s">
        <v>154</v>
      </c>
      <c r="N116" s="52" cm="1">
        <f t="array" ref="N116">_FV(A1,"Price")</f>
        <v>62.45</v>
      </c>
    </row>
    <row r="117" spans="13:14" ht="20" x14ac:dyDescent="0.25">
      <c r="M117" s="50" t="s">
        <v>155</v>
      </c>
      <c r="N117" s="53">
        <f>N115/N116-1</f>
        <v>0.1881531884309704</v>
      </c>
    </row>
    <row r="118" spans="13:14" ht="20" x14ac:dyDescent="0.25">
      <c r="M118" s="50" t="s">
        <v>156</v>
      </c>
      <c r="N118" s="54" t="str">
        <f>IF(N115&gt;N116,"BUY","SELL")</f>
        <v>BUY</v>
      </c>
    </row>
  </sheetData>
  <mergeCells count="6">
    <mergeCell ref="M109:N109"/>
    <mergeCell ref="S83:T83"/>
    <mergeCell ref="S84:T84"/>
    <mergeCell ref="S93:T93"/>
    <mergeCell ref="S98:T98"/>
    <mergeCell ref="S104:T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L1" r:id="rId23" display="https://finbox.com/NYSE:TWLO/models/dcf-revenue-exit-5yr/" xr:uid="{920F1266-3CDA-7248-BAC5-E2AB0E12370D}"/>
    <hyperlink ref="R106" r:id="rId24" xr:uid="{CC50150D-9459-A946-A829-8116BDB0C593}"/>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2023-02-16T22:45:31Z</dcterms:created>
  <dcterms:modified xsi:type="dcterms:W3CDTF">2023-07-09T11:32:59Z</dcterms:modified>
</cp:coreProperties>
</file>