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A0BE055-799D-7748-AF7A-B8BF6D96698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G116" i="1" a="1"/>
  <c r="G116" i="1" s="1"/>
  <c r="K16" i="1"/>
  <c r="G114" i="1" s="1"/>
  <c r="F105" i="1"/>
  <c r="M101" i="1" a="1"/>
  <c r="M101" i="1" s="1"/>
  <c r="M95" i="1" a="1"/>
  <c r="M95" i="1" s="1"/>
  <c r="G111" i="1"/>
  <c r="M99" i="1"/>
  <c r="G112" i="1" s="1"/>
  <c r="M90" i="1"/>
  <c r="M89" i="1"/>
  <c r="M91" i="1" s="1"/>
  <c r="M88" i="1"/>
  <c r="M92" i="1" s="1"/>
  <c r="M87" i="1"/>
  <c r="M86" i="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22" i="1" l="1"/>
  <c r="M22" i="1"/>
  <c r="G105" i="1"/>
  <c r="H105" i="1" s="1"/>
  <c r="I105" i="1" s="1"/>
  <c r="J105" i="1" s="1"/>
  <c r="M106" i="1"/>
  <c r="M19" i="1"/>
  <c r="L19" i="1"/>
  <c r="M16" i="1"/>
  <c r="N16" i="1"/>
  <c r="L16" i="1"/>
  <c r="N19" i="1"/>
  <c r="M103" i="1"/>
  <c r="M102" i="1" s="1"/>
  <c r="M100" i="1" l="1"/>
  <c r="M94" i="1" l="1"/>
  <c r="M97" i="1" s="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<sst xmlns="http://schemas.openxmlformats.org/spreadsheetml/2006/main" count="254" uniqueCount="167">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</sst>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164" fontId="9" fillId="0" borderId="0" xfId="0" applyNumberFormat="1" applyFont="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164" fontId="9" fillId="7" borderId="0" xfId="0" applyNumberFormat="1" applyFont="1" applyFill="1"/>
    <xf numFmtId="0" fontId="0" fillId="7" borderId="0" xfId="0" applyFill="1"/>
    <xf numFmtId="164" fontId="9" fillId="8" borderId="0" xfId="0" applyNumberFormat="1" applyFont="1" applyFill="1"/>
    <xf numFmtId="164" fontId="1" fillId="8" borderId="0" xfId="0" applyNumberFormat="1" applyFont="1" applyFill="1"/>
    <xf numFmtId="0" fontId="0" fillId="7" borderId="0" xfId="0" applyFill="1" applyAlignment="1">
      <alignment horizontal="left"/>
    </xf>
    <xf numFmtId="0" fontId="13" fillId="6" borderId="0" xfId="0" applyFont="1" applyFill="1" applyAlignment="1">
      <alignment horizontal="left" vertical="center" wrapText="1"/>
    </xf>
    <xf numFmtId="164" fontId="13"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3" fillId="6" borderId="0" xfId="0" applyNumberFormat="1" applyFont="1" applyFill="1"/>
    <xf numFmtId="0" fontId="13" fillId="7" borderId="0" xfId="0" applyFont="1" applyFill="1" applyAlignment="1">
      <alignment horizontal="left" vertical="center" wrapText="1"/>
    </xf>
    <xf numFmtId="39" fontId="13" fillId="7" borderId="0" xfId="0" applyNumberFormat="1" applyFont="1" applyFill="1"/>
    <xf numFmtId="164" fontId="1" fillId="7"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8" fontId="1" fillId="7" borderId="0" xfId="0" applyNumberFormat="1" applyFont="1" applyFill="1"/>
    <xf numFmtId="9" fontId="12" fillId="4" borderId="0" xfId="1" applyFont="1" applyFill="1" applyBorder="1"/>
    <xf numFmtId="0" fontId="12" fillId="4" borderId="0" xfId="0" applyFont="1" applyFill="1" applyAlignment="1">
      <alignment horizontal="right"/>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60674098905954E-2"/>
          <c:y val="0.13650410451853537"/>
          <c:w val="0.85673272524102817"/>
          <c:h val="0.694412495336641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55289000</c:v>
                </c:pt>
                <c:pt idx="1">
                  <c:v>104143000</c:v>
                </c:pt>
                <c:pt idx="2">
                  <c:v>244120000</c:v>
                </c:pt>
                <c:pt idx="3">
                  <c:v>418925000</c:v>
                </c:pt>
              </c:numCache>
            </c:numRef>
          </c:val>
          <c:extLst>
            <c:ext xmlns:c16="http://schemas.microsoft.com/office/drawing/2014/chart" uri="{C3380CC4-5D6E-409C-BE32-E72D297353CC}">
              <c16:uniqueId val="{00000000-502B-D144-8D93-920CF44CA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15602000</c:v>
                </c:pt>
                <c:pt idx="1">
                  <c:v>28184000</c:v>
                </c:pt>
                <c:pt idx="2">
                  <c:v>77876000</c:v>
                </c:pt>
                <c:pt idx="3">
                  <c:v>108683000</c:v>
                </c:pt>
              </c:numCache>
            </c:numRef>
          </c:val>
          <c:extLst>
            <c:ext xmlns:c16="http://schemas.microsoft.com/office/drawing/2014/chart" uri="{C3380CC4-5D6E-409C-BE32-E72D297353CC}">
              <c16:uniqueId val="{00000001-502B-D144-8D93-920CF44CA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29017000</c:v>
                </c:pt>
                <c:pt idx="1">
                  <c:v>84604000</c:v>
                </c:pt>
                <c:pt idx="2">
                  <c:v>60469000</c:v>
                </c:pt>
                <c:pt idx="3">
                  <c:v>142099000</c:v>
                </c:pt>
              </c:numCache>
            </c:numRef>
          </c:val>
          <c:extLst>
            <c:ext xmlns:c16="http://schemas.microsoft.com/office/drawing/2014/chart" uri="{C3380CC4-5D6E-409C-BE32-E72D297353CC}">
              <c16:uniqueId val="{00000002-502B-D144-8D93-920CF44CADDE}"/>
            </c:ext>
          </c:extLst>
        </c:ser>
        <c:dLbls>
          <c:showLegendKey val="0"/>
          <c:showVal val="0"/>
          <c:showCatName val="0"/>
          <c:showSerName val="0"/>
          <c:showPercent val="0"/>
          <c:showBubbleSize val="0"/>
        </c:dLbls>
        <c:gapWidth val="100"/>
        <c:overlap val="-24"/>
        <c:axId val="1270671807"/>
        <c:axId val="1270574479"/>
      </c:barChart>
      <c:catAx>
        <c:axId val="127067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4479"/>
        <c:crosses val="autoZero"/>
        <c:auto val="1"/>
        <c:lblAlgn val="ctr"/>
        <c:lblOffset val="100"/>
        <c:noMultiLvlLbl val="0"/>
      </c:catAx>
      <c:valAx>
        <c:axId val="12705744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671807"/>
        <c:crosses val="autoZero"/>
        <c:crossBetween val="between"/>
      </c:valAx>
      <c:spPr>
        <a:noFill/>
        <a:ln>
          <a:noFill/>
        </a:ln>
        <a:effectLst/>
      </c:spPr>
    </c:plotArea>
    <c:legend>
      <c:legendPos val="b"/>
      <c:layout>
        <c:manualLayout>
          <c:xMode val="edge"/>
          <c:yMode val="edge"/>
          <c:x val="0.35921031158233929"/>
          <c:y val="0.91000759437863354"/>
          <c:w val="0.3132625451521530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31751</xdr:rowOff>
    </xdr:from>
    <xdr:to>
      <xdr:col>13</xdr:col>
      <xdr:colOff>15875</xdr:colOff>
      <xdr:row>125</xdr:row>
      <xdr:rowOff>31751</xdr:rowOff>
    </xdr:to>
    <xdr:graphicFrame macro="">
      <xdr:nvGraphicFramePr>
        <xdr:cNvPr id="2" name="Chart 1">
          <a:extLst>
            <a:ext uri="{FF2B5EF4-FFF2-40B4-BE49-F238E27FC236}">
              <a16:creationId xmlns:a16="http://schemas.microsoft.com/office/drawing/2014/main" id="{DF9A3FB8-A957-24D1-42BF-831D841B4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33.630000000000003</v>
    <v>9.0330999999999992</v>
    <v>2.266</v>
    <v>0.13</v>
    <v>1.0888E-2</v>
    <v>-0.24</v>
    <v>-1.9883999999999999E-2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12.32</v>
    <v>Professional &amp; Commercial Services</v>
    <v>Stock</v>
    <v>45114.965876446091</v>
    <v>0</v>
    <v>11.94</v>
    <v>3546119000</v>
    <v>dLocal Ltd</v>
    <v>dLocal Ltd</v>
    <v>11.96</v>
    <v>31.991900000000001</v>
    <v>11.94</v>
    <v>12.07</v>
    <v>11.83</v>
    <v>293796100</v>
    <v>DLO</v>
    <v>dLocal Ltd (XNAS:DLO)</v>
    <v>940042</v>
    <v>1957353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topLeftCell="A82" zoomScale="80" zoomScaleNormal="80" workbookViewId="0">
      <pane xSplit="1" topLeftCell="C1" activePane="topRight" state="frozen"/>
      <selection pane="topRight" activeCell="G99" sqref="G99"/>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20">
        <v>634000000</v>
      </c>
      <c r="G3" s="20">
        <v>874100000</v>
      </c>
      <c r="H3" s="20">
        <v>1122000000</v>
      </c>
      <c r="I3" s="20">
        <v>1682000000</v>
      </c>
      <c r="J3" s="20">
        <v>2271000000</v>
      </c>
      <c r="K3" s="21" t="s">
        <v>104</v>
      </c>
      <c r="L3" s="22" t="s">
        <v>105</v>
      </c>
      <c r="M3" s="22" t="s">
        <v>106</v>
      </c>
      <c r="N3" s="22" t="s">
        <v>107</v>
      </c>
    </row>
    <row r="4" spans="1:14" ht="19" x14ac:dyDescent="0.25">
      <c r="A4" s="16" t="s">
        <v>94</v>
      </c>
      <c r="B4" s="15" t="e">
        <f t="shared" ref="B4" si="0">(B3/A3)-1</f>
        <v>#VALUE!</v>
      </c>
      <c r="C4" s="15">
        <f t="shared" ref="C4" si="1">(C3/B3)-1</f>
        <v>0.88361156830472609</v>
      </c>
      <c r="D4" s="15">
        <f t="shared" ref="D4" si="2">(D3/C3)-1</f>
        <v>1.3440845760156708</v>
      </c>
      <c r="E4" s="15">
        <f t="shared" ref="E4:J4" si="3">(E3/D3)-1</f>
        <v>0.71606177289857453</v>
      </c>
      <c r="F4" s="15">
        <f t="shared" si="3"/>
        <v>0.51339738616697494</v>
      </c>
      <c r="G4" s="15">
        <f t="shared" si="3"/>
        <v>0.37870662460567828</v>
      </c>
      <c r="H4" s="15">
        <f t="shared" si="3"/>
        <v>0.2836059947374443</v>
      </c>
      <c r="I4" s="15">
        <f t="shared" si="3"/>
        <v>0.49910873440285197</v>
      </c>
      <c r="J4" s="15">
        <f t="shared" si="3"/>
        <v>0.3501783590963139</v>
      </c>
      <c r="K4" s="23">
        <f>(E4+D4+C4)/3</f>
        <v>0.98125263907299054</v>
      </c>
      <c r="L4" s="23">
        <f>(E20+D20+C20)/3</f>
        <v>1.0331372176178213</v>
      </c>
      <c r="M4" s="23">
        <f>(E29+D29+C29)/3</f>
        <v>0.988384504709094</v>
      </c>
      <c r="N4" s="23">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1" t="s">
        <v>108</v>
      </c>
      <c r="L6" s="22" t="s">
        <v>109</v>
      </c>
      <c r="M6" s="22" t="s">
        <v>110</v>
      </c>
      <c r="N6" s="22" t="s">
        <v>111</v>
      </c>
    </row>
    <row r="7" spans="1:14" ht="19" x14ac:dyDescent="0.25">
      <c r="A7" s="5" t="s">
        <v>4</v>
      </c>
      <c r="B7" s="2">
        <v>0.64890000000000003</v>
      </c>
      <c r="C7" s="2">
        <v>0.57689999999999997</v>
      </c>
      <c r="D7" s="2">
        <v>0.5343</v>
      </c>
      <c r="E7" s="2">
        <v>0.48259999999999997</v>
      </c>
      <c r="K7" s="23">
        <f>E7</f>
        <v>0.48259999999999997</v>
      </c>
      <c r="L7" s="24">
        <f>E21</f>
        <v>0.35920000000000002</v>
      </c>
      <c r="M7" s="24">
        <f>E30</f>
        <v>0.25940000000000002</v>
      </c>
      <c r="N7" s="24">
        <f>E107/E3</f>
        <v>0.33919914065763562</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1" t="s">
        <v>112</v>
      </c>
      <c r="L9" s="22" t="s">
        <v>113</v>
      </c>
      <c r="M9" s="22" t="s">
        <v>114</v>
      </c>
      <c r="N9" s="22" t="s">
        <v>115</v>
      </c>
    </row>
    <row r="10" spans="1:14" ht="19" x14ac:dyDescent="0.25">
      <c r="A10" s="5" t="s">
        <v>6</v>
      </c>
      <c r="B10" s="1">
        <v>13866000</v>
      </c>
      <c r="C10" s="1">
        <v>19877000</v>
      </c>
      <c r="D10" s="1">
        <v>38234000</v>
      </c>
      <c r="E10" s="1">
        <v>48343000</v>
      </c>
      <c r="K10" s="23">
        <f>E9</f>
        <v>1.5153070358656083E-2</v>
      </c>
      <c r="L10" s="24">
        <f>E13</f>
        <v>0.1472292176403891</v>
      </c>
      <c r="M10" s="24">
        <f>E80</f>
        <v>2.0729247478665631E-2</v>
      </c>
      <c r="N10" s="24">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1" t="s">
        <v>116</v>
      </c>
      <c r="L12" s="22" t="s">
        <v>117</v>
      </c>
      <c r="M12" s="22" t="s">
        <v>118</v>
      </c>
      <c r="N12" s="22"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3">
        <f>E28/E72</f>
        <v>0.27195974266131839</v>
      </c>
      <c r="L13" s="24">
        <f>E28/E54</f>
        <v>0.13152955157987223</v>
      </c>
      <c r="M13" s="24">
        <f>E22/(E72+E56+E61)</f>
        <v>0.31683791255065541</v>
      </c>
      <c r="N13" s="25">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1" t="s">
        <v>164</v>
      </c>
      <c r="L15" s="22" t="s">
        <v>120</v>
      </c>
      <c r="M15" s="22" t="s">
        <v>121</v>
      </c>
      <c r="N15" s="22" t="s">
        <v>122</v>
      </c>
    </row>
    <row r="16" spans="1:14" ht="19" x14ac:dyDescent="0.25">
      <c r="A16" s="5" t="s">
        <v>11</v>
      </c>
      <c r="B16" s="1">
        <v>36918000</v>
      </c>
      <c r="C16" s="1">
        <v>71110000</v>
      </c>
      <c r="D16" s="1">
        <v>160249000</v>
      </c>
      <c r="E16" s="1">
        <v>285481000</v>
      </c>
      <c r="K16" s="26">
        <f>(E35+D35+C35)/3</f>
        <v>2.2765431963205324E-2</v>
      </c>
      <c r="L16" s="27">
        <f>M101/E3</f>
        <v>8.4648063495852472</v>
      </c>
      <c r="M16" s="27">
        <f>M101/E28</f>
        <v>32.628092709991442</v>
      </c>
      <c r="N16" s="28">
        <f>M101/E107</f>
        <v>24.955270621186639</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1" t="s">
        <v>123</v>
      </c>
      <c r="L18" s="22" t="s">
        <v>124</v>
      </c>
      <c r="M18" s="22" t="s">
        <v>125</v>
      </c>
      <c r="N18" s="22" t="s">
        <v>126</v>
      </c>
    </row>
    <row r="19" spans="1:14" ht="19" x14ac:dyDescent="0.25">
      <c r="A19" s="6" t="s">
        <v>14</v>
      </c>
      <c r="B19" s="10">
        <v>19013000</v>
      </c>
      <c r="C19" s="10">
        <v>34509000</v>
      </c>
      <c r="D19" s="10">
        <v>90412000</v>
      </c>
      <c r="E19" s="10">
        <v>150485000</v>
      </c>
      <c r="F19" s="29">
        <v>207800000</v>
      </c>
      <c r="G19" s="29">
        <v>271900000</v>
      </c>
      <c r="H19" s="29">
        <v>360100000</v>
      </c>
      <c r="I19" s="29">
        <v>534400000</v>
      </c>
      <c r="J19" s="29">
        <v>891700000</v>
      </c>
      <c r="K19" s="30">
        <f>E40-E56-E61</f>
        <v>465308000</v>
      </c>
      <c r="L19" s="27">
        <f>M101/F3</f>
        <v>5.5932476340694004</v>
      </c>
      <c r="M19" s="27">
        <f>M101/F28</f>
        <v>19.978135211267606</v>
      </c>
      <c r="N19" s="28">
        <f>M101/F105</f>
        <v>19.097043454737435</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0.38086852510216973</v>
      </c>
      <c r="G20" s="15">
        <f t="shared" si="11"/>
        <v>0.30846968238691042</v>
      </c>
      <c r="H20" s="15">
        <f t="shared" si="11"/>
        <v>0.32438396469290187</v>
      </c>
      <c r="I20" s="15">
        <f t="shared" si="11"/>
        <v>0.48403221327409063</v>
      </c>
      <c r="J20" s="15">
        <f t="shared" si="11"/>
        <v>0.6686002994011977</v>
      </c>
    </row>
    <row r="21" spans="1:14" ht="20" x14ac:dyDescent="0.25">
      <c r="A21" s="5" t="s">
        <v>15</v>
      </c>
      <c r="B21" s="2">
        <v>0.34389999999999998</v>
      </c>
      <c r="C21" s="2">
        <v>0.33139999999999997</v>
      </c>
      <c r="D21" s="2">
        <v>0.37040000000000001</v>
      </c>
      <c r="E21" s="2">
        <v>0.35920000000000002</v>
      </c>
      <c r="F21" s="31">
        <f>F19/F3</f>
        <v>0.32776025236593059</v>
      </c>
      <c r="G21" s="31">
        <f t="shared" ref="G21:J21" si="12">G19/G3</f>
        <v>0.31106280745910081</v>
      </c>
      <c r="H21" s="31">
        <f t="shared" si="12"/>
        <v>0.32094474153297681</v>
      </c>
      <c r="I21" s="31">
        <f t="shared" si="12"/>
        <v>0.31771700356718191</v>
      </c>
      <c r="J21" s="31">
        <f t="shared" si="12"/>
        <v>0.39264641127256716</v>
      </c>
      <c r="M21" s="21" t="s">
        <v>165</v>
      </c>
      <c r="N21" s="22" t="s">
        <v>166</v>
      </c>
    </row>
    <row r="22" spans="1:14" ht="19" x14ac:dyDescent="0.25">
      <c r="A22" s="6" t="s">
        <v>16</v>
      </c>
      <c r="B22" s="10">
        <v>17564000</v>
      </c>
      <c r="C22" s="10">
        <v>30945000</v>
      </c>
      <c r="D22" s="10">
        <v>83838000</v>
      </c>
      <c r="E22" s="10">
        <v>127910000</v>
      </c>
      <c r="M22" s="62">
        <f>(-1*E98)/M101</f>
        <v>0</v>
      </c>
      <c r="N22" s="63">
        <f>E107/M101</f>
        <v>4.0071695281517626E-2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2">
        <v>177500000</v>
      </c>
      <c r="G28" s="32">
        <v>243900000</v>
      </c>
      <c r="H28" s="32">
        <v>320200000</v>
      </c>
      <c r="I28" s="32">
        <v>421300000</v>
      </c>
      <c r="J28" s="32">
        <v>729800000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0.63319010332802739</v>
      </c>
      <c r="G29" s="15">
        <f t="shared" si="16"/>
        <v>0.3740845070422536</v>
      </c>
      <c r="H29" s="15">
        <f t="shared" si="16"/>
        <v>0.31283312833128329</v>
      </c>
      <c r="I29" s="15">
        <f t="shared" si="16"/>
        <v>0.315740162398501</v>
      </c>
      <c r="J29" s="15">
        <f t="shared" si="16"/>
        <v>0.73225729883693336</v>
      </c>
    </row>
    <row r="30" spans="1:14" ht="19" x14ac:dyDescent="0.25">
      <c r="A30" s="5" t="s">
        <v>23</v>
      </c>
      <c r="B30" s="2">
        <v>0.28220000000000001</v>
      </c>
      <c r="C30" s="2">
        <v>0.27060000000000001</v>
      </c>
      <c r="D30" s="2">
        <v>0.31900000000000001</v>
      </c>
      <c r="E30" s="2">
        <v>0.25940000000000002</v>
      </c>
      <c r="F30" s="33">
        <f>F28/F3</f>
        <v>0.27996845425867506</v>
      </c>
      <c r="G30" s="33">
        <f t="shared" ref="G30:J30" si="17">G28/G3</f>
        <v>0.27902985928383478</v>
      </c>
      <c r="H30" s="33">
        <f t="shared" si="17"/>
        <v>0.28538324420677363</v>
      </c>
      <c r="I30" s="33">
        <f t="shared" si="17"/>
        <v>0.25047562425683711</v>
      </c>
      <c r="J30" s="33">
        <f t="shared" si="17"/>
        <v>0.32135623073535885</v>
      </c>
    </row>
    <row r="31" spans="1:14" ht="19" x14ac:dyDescent="0.25">
      <c r="A31" s="5" t="s">
        <v>24</v>
      </c>
      <c r="B31" s="12">
        <v>0.05</v>
      </c>
      <c r="C31" s="12">
        <v>0.1</v>
      </c>
      <c r="D31" s="12">
        <v>0.27</v>
      </c>
      <c r="E31" s="12">
        <v>0.37</v>
      </c>
      <c r="F31" s="34">
        <v>0.6</v>
      </c>
      <c r="G31" s="34">
        <v>0.83</v>
      </c>
      <c r="H31" s="34">
        <v>1.0900000000000001</v>
      </c>
      <c r="I31" s="34">
        <v>1.43</v>
      </c>
      <c r="J31" s="34">
        <v>2.48</v>
      </c>
    </row>
    <row r="32" spans="1:14" ht="19" x14ac:dyDescent="0.25">
      <c r="A32" s="5" t="s">
        <v>25</v>
      </c>
      <c r="B32" s="12">
        <v>0.05</v>
      </c>
      <c r="C32" s="12">
        <v>0.1</v>
      </c>
      <c r="D32" s="12">
        <v>0.25</v>
      </c>
      <c r="E32" s="12">
        <v>0.35</v>
      </c>
    </row>
    <row r="33" spans="1:5" ht="19" x14ac:dyDescent="0.25">
      <c r="A33" s="5" t="s">
        <v>26</v>
      </c>
      <c r="B33" s="1">
        <v>292915765</v>
      </c>
      <c r="C33" s="1">
        <v>292915765</v>
      </c>
      <c r="D33" s="1">
        <v>287121304</v>
      </c>
      <c r="E33" s="1">
        <v>295624000</v>
      </c>
    </row>
    <row r="34" spans="1:5" ht="19" x14ac:dyDescent="0.25">
      <c r="A34" s="5" t="s">
        <v>27</v>
      </c>
      <c r="B34" s="1">
        <v>292915765</v>
      </c>
      <c r="C34" s="1">
        <v>292915765</v>
      </c>
      <c r="D34" s="1">
        <v>308930304</v>
      </c>
      <c r="E34" s="1">
        <v>313139000</v>
      </c>
    </row>
    <row r="35" spans="1:5" ht="19" x14ac:dyDescent="0.25">
      <c r="A35" s="16" t="s">
        <v>99</v>
      </c>
      <c r="B35" s="18" t="e">
        <f t="shared" ref="B35" si="18">(B34-A34)/A34</f>
        <v>#VALUE!</v>
      </c>
      <c r="C35" s="18">
        <f t="shared" ref="C35" si="19">(C34-B34)/B34</f>
        <v>0</v>
      </c>
      <c r="D35" s="18">
        <f t="shared" ref="D35" si="20">(D34-C34)/C34</f>
        <v>5.4672847670046029E-2</v>
      </c>
      <c r="E35" s="18">
        <f t="shared" ref="E35" si="21">(E34-D34)/D34</f>
        <v>1.3623448219569938E-2</v>
      </c>
    </row>
    <row r="36" spans="1:5" ht="19" x14ac:dyDescent="0.25">
      <c r="A36" s="5" t="s">
        <v>28</v>
      </c>
      <c r="B36" s="13" t="s">
        <v>91</v>
      </c>
      <c r="C36" s="13" t="s">
        <v>91</v>
      </c>
      <c r="D36" s="13" t="s">
        <v>91</v>
      </c>
      <c r="E36" s="13" t="s">
        <v>91</v>
      </c>
    </row>
    <row r="37" spans="1:5" ht="21" x14ac:dyDescent="0.25">
      <c r="A37" s="4" t="s">
        <v>29</v>
      </c>
      <c r="B37" s="9" t="s">
        <v>90</v>
      </c>
      <c r="C37" s="9" t="s">
        <v>90</v>
      </c>
      <c r="D37" s="9" t="s">
        <v>90</v>
      </c>
      <c r="E37" s="9" t="s">
        <v>90</v>
      </c>
    </row>
    <row r="38" spans="1:5" ht="19" x14ac:dyDescent="0.25">
      <c r="A38" s="5" t="s">
        <v>30</v>
      </c>
      <c r="B38" s="1">
        <v>6880000</v>
      </c>
      <c r="C38" s="1">
        <v>43684000</v>
      </c>
      <c r="D38" s="1">
        <v>227913000</v>
      </c>
      <c r="E38" s="1">
        <v>468092000</v>
      </c>
    </row>
    <row r="39" spans="1:5" ht="19" x14ac:dyDescent="0.25">
      <c r="A39" s="5" t="s">
        <v>31</v>
      </c>
      <c r="B39" s="1">
        <v>15399000</v>
      </c>
      <c r="C39" s="1">
        <v>8319000</v>
      </c>
      <c r="D39" s="1">
        <v>1004000</v>
      </c>
      <c r="E39" s="1">
        <v>1295000</v>
      </c>
    </row>
    <row r="40" spans="1:5" ht="19" x14ac:dyDescent="0.25">
      <c r="A40" s="5" t="s">
        <v>32</v>
      </c>
      <c r="B40" s="1">
        <v>22279000</v>
      </c>
      <c r="C40" s="1">
        <v>52003000</v>
      </c>
      <c r="D40" s="1">
        <v>228917000</v>
      </c>
      <c r="E40" s="1">
        <v>469387000</v>
      </c>
    </row>
    <row r="41" spans="1:5" ht="19" x14ac:dyDescent="0.25">
      <c r="A41" s="5" t="s">
        <v>33</v>
      </c>
      <c r="B41" s="1">
        <v>24443000</v>
      </c>
      <c r="C41" s="1">
        <v>67212000</v>
      </c>
      <c r="D41" s="1">
        <v>178877000</v>
      </c>
      <c r="E41" s="1">
        <v>240446000</v>
      </c>
    </row>
    <row r="42" spans="1:5" ht="19" x14ac:dyDescent="0.25">
      <c r="A42" s="5" t="s">
        <v>34</v>
      </c>
      <c r="B42" s="1" t="s">
        <v>92</v>
      </c>
      <c r="C42" s="1" t="s">
        <v>92</v>
      </c>
      <c r="D42" s="1" t="s">
        <v>92</v>
      </c>
      <c r="E42" s="1" t="s">
        <v>92</v>
      </c>
    </row>
    <row r="43" spans="1:5" ht="19" x14ac:dyDescent="0.25">
      <c r="A43" s="5" t="s">
        <v>35</v>
      </c>
      <c r="B43" s="1">
        <v>96000</v>
      </c>
      <c r="C43" s="1">
        <v>397000</v>
      </c>
      <c r="D43" s="1">
        <v>121712000</v>
      </c>
      <c r="E43" s="1">
        <v>56789000</v>
      </c>
    </row>
    <row r="44" spans="1:5" ht="19" x14ac:dyDescent="0.25">
      <c r="A44" s="6" t="s">
        <v>36</v>
      </c>
      <c r="B44" s="10">
        <v>77216000</v>
      </c>
      <c r="C44" s="10">
        <v>194854000</v>
      </c>
      <c r="D44" s="10">
        <v>529506000</v>
      </c>
      <c r="E44" s="10">
        <v>767828000</v>
      </c>
    </row>
    <row r="45" spans="1:5" ht="19" x14ac:dyDescent="0.25">
      <c r="A45" s="5" t="s">
        <v>37</v>
      </c>
      <c r="B45" s="1">
        <v>561000</v>
      </c>
      <c r="C45" s="1">
        <v>1101000</v>
      </c>
      <c r="D45" s="1">
        <v>6400000</v>
      </c>
      <c r="E45" s="1">
        <v>6668000</v>
      </c>
    </row>
    <row r="46" spans="1:5" ht="19" x14ac:dyDescent="0.25">
      <c r="A46" s="5" t="s">
        <v>38</v>
      </c>
      <c r="B46" s="1" t="s">
        <v>92</v>
      </c>
      <c r="C46" s="1" t="s">
        <v>92</v>
      </c>
      <c r="D46" s="1" t="s">
        <v>92</v>
      </c>
      <c r="E46" s="1" t="s">
        <v>92</v>
      </c>
    </row>
    <row r="47" spans="1:5" ht="19" x14ac:dyDescent="0.25">
      <c r="A47" s="5" t="s">
        <v>39</v>
      </c>
      <c r="B47" s="1">
        <v>1803000</v>
      </c>
      <c r="C47" s="1">
        <v>4153000</v>
      </c>
      <c r="D47" s="1">
        <v>46969000</v>
      </c>
      <c r="E47" s="1">
        <v>51443000</v>
      </c>
    </row>
    <row r="48" spans="1:5"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21" x14ac:dyDescent="0.25">
      <c r="A83" s="5" t="s">
        <v>34</v>
      </c>
      <c r="B83" s="1" t="s">
        <v>92</v>
      </c>
      <c r="C83" s="1" t="s">
        <v>92</v>
      </c>
      <c r="D83" s="1" t="s">
        <v>92</v>
      </c>
      <c r="E83" s="1" t="s">
        <v>92</v>
      </c>
      <c r="L83" s="65" t="s">
        <v>127</v>
      </c>
      <c r="M83" s="66"/>
    </row>
    <row r="84" spans="1:13" ht="19" x14ac:dyDescent="0.25">
      <c r="A84" s="5" t="s">
        <v>47</v>
      </c>
      <c r="B84" s="1">
        <v>20284000</v>
      </c>
      <c r="C84" s="1">
        <v>89888000</v>
      </c>
      <c r="D84" s="1">
        <v>134295000</v>
      </c>
      <c r="E84" s="1">
        <v>130714000</v>
      </c>
      <c r="L84" s="67" t="s">
        <v>128</v>
      </c>
      <c r="M84" s="67"/>
    </row>
    <row r="85" spans="1:13" ht="20" x14ac:dyDescent="0.25">
      <c r="A85" s="5" t="s">
        <v>71</v>
      </c>
      <c r="B85" s="1">
        <v>-616000</v>
      </c>
      <c r="C85" s="1">
        <v>5358000</v>
      </c>
      <c r="D85" s="1">
        <v>-109148000</v>
      </c>
      <c r="E85" s="1">
        <v>-109935000</v>
      </c>
      <c r="L85" s="40" t="s">
        <v>129</v>
      </c>
      <c r="M85" s="41">
        <f>E17</f>
        <v>24668000</v>
      </c>
    </row>
    <row r="86" spans="1:13" ht="20" x14ac:dyDescent="0.25">
      <c r="A86" s="5" t="s">
        <v>72</v>
      </c>
      <c r="B86" s="1">
        <v>-1258000</v>
      </c>
      <c r="C86" s="1">
        <v>-533000</v>
      </c>
      <c r="D86" s="1">
        <v>-14498000</v>
      </c>
      <c r="E86" s="1">
        <v>-3442000</v>
      </c>
      <c r="L86" s="40" t="s">
        <v>130</v>
      </c>
      <c r="M86" s="41">
        <f>E56</f>
        <v>686000</v>
      </c>
    </row>
    <row r="87" spans="1:13" ht="20" x14ac:dyDescent="0.25">
      <c r="A87" s="6" t="s">
        <v>73</v>
      </c>
      <c r="B87" s="10">
        <v>30723000</v>
      </c>
      <c r="C87" s="10">
        <v>88486000</v>
      </c>
      <c r="D87" s="10">
        <v>108486000</v>
      </c>
      <c r="E87" s="10">
        <v>154451000</v>
      </c>
      <c r="L87" s="40" t="s">
        <v>131</v>
      </c>
      <c r="M87" s="41">
        <f>E61</f>
        <v>3393000</v>
      </c>
    </row>
    <row r="88" spans="1:13" ht="20" x14ac:dyDescent="0.25">
      <c r="A88" s="5" t="s">
        <v>74</v>
      </c>
      <c r="B88" s="1">
        <v>-1706000</v>
      </c>
      <c r="C88" s="1">
        <v>-3882000</v>
      </c>
      <c r="D88" s="1">
        <v>-48017000</v>
      </c>
      <c r="E88" s="1">
        <v>-12352000</v>
      </c>
      <c r="L88" s="42" t="s">
        <v>132</v>
      </c>
      <c r="M88" s="43">
        <f>M85/(M86+M87)</f>
        <v>6.0475606766364303</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L89" s="40" t="s">
        <v>133</v>
      </c>
      <c r="M89" s="41">
        <f>E27</f>
        <v>11586000</v>
      </c>
    </row>
    <row r="90" spans="1:13" ht="20" x14ac:dyDescent="0.25">
      <c r="A90" s="5" t="s">
        <v>75</v>
      </c>
      <c r="B90" s="1" t="s">
        <v>92</v>
      </c>
      <c r="C90" s="1" t="s">
        <v>92</v>
      </c>
      <c r="D90" s="1" t="s">
        <v>92</v>
      </c>
      <c r="E90" s="1" t="s">
        <v>92</v>
      </c>
      <c r="L90" s="40" t="s">
        <v>19</v>
      </c>
      <c r="M90" s="41">
        <f>E25</f>
        <v>120283000</v>
      </c>
    </row>
    <row r="91" spans="1:13" ht="20" x14ac:dyDescent="0.25">
      <c r="A91" s="5" t="s">
        <v>76</v>
      </c>
      <c r="B91" s="1" t="s">
        <v>92</v>
      </c>
      <c r="C91" s="1" t="s">
        <v>92</v>
      </c>
      <c r="D91" s="1" t="s">
        <v>92</v>
      </c>
      <c r="E91" s="1" t="s">
        <v>92</v>
      </c>
      <c r="L91" s="42" t="s">
        <v>134</v>
      </c>
      <c r="M91" s="43">
        <f>M89/M90</f>
        <v>9.6322838638876654E-2</v>
      </c>
    </row>
    <row r="92" spans="1:13" ht="20" x14ac:dyDescent="0.25">
      <c r="A92" s="5" t="s">
        <v>77</v>
      </c>
      <c r="B92" s="1">
        <v>1601000</v>
      </c>
      <c r="C92" s="1">
        <v>7089000</v>
      </c>
      <c r="D92" s="1">
        <v>7520000</v>
      </c>
      <c r="E92" s="1" t="s">
        <v>92</v>
      </c>
      <c r="L92" s="42" t="s">
        <v>135</v>
      </c>
      <c r="M92" s="43">
        <f>M88*(1-M91)</f>
        <v>5.4650424654219636</v>
      </c>
    </row>
    <row r="93" spans="1:13" ht="19" x14ac:dyDescent="0.25">
      <c r="A93" s="5" t="s">
        <v>78</v>
      </c>
      <c r="B93" s="1">
        <v>-1331000</v>
      </c>
      <c r="C93" s="1">
        <v>-2563000</v>
      </c>
      <c r="D93" s="1">
        <v>-43512000</v>
      </c>
      <c r="E93" s="1">
        <v>5292000</v>
      </c>
      <c r="L93" s="67" t="s">
        <v>136</v>
      </c>
      <c r="M93" s="67"/>
    </row>
    <row r="94" spans="1:13" ht="20" x14ac:dyDescent="0.25">
      <c r="A94" s="6" t="s">
        <v>79</v>
      </c>
      <c r="B94" s="10">
        <v>118000</v>
      </c>
      <c r="C94" s="10">
        <v>3650000</v>
      </c>
      <c r="D94" s="10">
        <v>-37941000</v>
      </c>
      <c r="E94" s="10">
        <v>4305000</v>
      </c>
      <c r="L94" s="40" t="s">
        <v>137</v>
      </c>
      <c r="M94" s="44">
        <f>[1]Treasuries!$C$8</f>
        <v>4.0410000000000001E-2</v>
      </c>
    </row>
    <row r="95" spans="1:13" ht="20" x14ac:dyDescent="0.25">
      <c r="A95" s="5" t="s">
        <v>80</v>
      </c>
      <c r="B95" s="1">
        <v>-9326000</v>
      </c>
      <c r="C95" s="1">
        <v>-131000</v>
      </c>
      <c r="D95" s="1">
        <v>-430000</v>
      </c>
      <c r="E95" s="1">
        <v>-20353000</v>
      </c>
      <c r="L95" s="45" t="s">
        <v>138</v>
      </c>
      <c r="M95" s="46" cm="1">
        <f t="array" ref="M95">_FV(A1,"Beta")</f>
        <v>2.266</v>
      </c>
    </row>
    <row r="96" spans="1:13" ht="20" x14ac:dyDescent="0.25">
      <c r="A96" s="5" t="s">
        <v>81</v>
      </c>
      <c r="B96" s="1">
        <v>14000</v>
      </c>
      <c r="C96" s="1" t="s">
        <v>92</v>
      </c>
      <c r="D96" s="1">
        <v>150265000</v>
      </c>
      <c r="E96" s="1" t="s">
        <v>92</v>
      </c>
      <c r="L96" s="40" t="s">
        <v>139</v>
      </c>
      <c r="M96" s="44">
        <v>8.4000000000000005E-2</v>
      </c>
    </row>
    <row r="97" spans="1:13" ht="20" x14ac:dyDescent="0.25">
      <c r="A97" s="5" t="s">
        <v>82</v>
      </c>
      <c r="B97" s="1" t="s">
        <v>92</v>
      </c>
      <c r="C97" s="1" t="s">
        <v>92</v>
      </c>
      <c r="D97" s="1" t="s">
        <v>92</v>
      </c>
      <c r="E97" s="1">
        <v>-2021000</v>
      </c>
      <c r="L97" s="42" t="s">
        <v>140</v>
      </c>
      <c r="M97" s="43">
        <f>(M94)+((M95)*(M96-M94))</f>
        <v>0.13918494000000001</v>
      </c>
    </row>
    <row r="98" spans="1:13" ht="19" x14ac:dyDescent="0.25">
      <c r="A98" s="5" t="s">
        <v>83</v>
      </c>
      <c r="B98" s="1">
        <v>-10000000</v>
      </c>
      <c r="C98" s="1">
        <v>-15000000</v>
      </c>
      <c r="D98" s="1" t="s">
        <v>92</v>
      </c>
      <c r="E98" s="1">
        <v>0</v>
      </c>
      <c r="L98" s="67" t="s">
        <v>141</v>
      </c>
      <c r="M98" s="67"/>
    </row>
    <row r="99" spans="1:13" ht="20" x14ac:dyDescent="0.25">
      <c r="A99" s="5" t="s">
        <v>84</v>
      </c>
      <c r="B99" s="1">
        <v>-30000</v>
      </c>
      <c r="C99" s="1">
        <v>-67000</v>
      </c>
      <c r="D99" s="1">
        <v>3913000</v>
      </c>
      <c r="E99" s="1">
        <v>-4953000</v>
      </c>
      <c r="L99" s="40" t="s">
        <v>142</v>
      </c>
      <c r="M99" s="41">
        <f>M86+M87</f>
        <v>4079000</v>
      </c>
    </row>
    <row r="100" spans="1:13" ht="20" x14ac:dyDescent="0.25">
      <c r="A100" s="6" t="s">
        <v>85</v>
      </c>
      <c r="B100" s="10">
        <v>-19342000</v>
      </c>
      <c r="C100" s="10">
        <v>-15198000</v>
      </c>
      <c r="D100" s="10">
        <v>153748000</v>
      </c>
      <c r="E100" s="10">
        <v>-27327000</v>
      </c>
      <c r="L100" s="42" t="s">
        <v>143</v>
      </c>
      <c r="M100" s="43">
        <f>M99/M103</f>
        <v>1.148950002225228E-3</v>
      </c>
    </row>
    <row r="101" spans="1:13" ht="20" x14ac:dyDescent="0.25">
      <c r="A101" s="5" t="s">
        <v>86</v>
      </c>
      <c r="B101" s="1">
        <v>-39000</v>
      </c>
      <c r="C101" s="1">
        <v>30000</v>
      </c>
      <c r="D101" s="1">
        <v>171000</v>
      </c>
      <c r="E101" s="1">
        <v>466000</v>
      </c>
      <c r="L101" s="45" t="s">
        <v>144</v>
      </c>
      <c r="M101" s="47" cm="1">
        <f t="array" ref="M101">_FV(A1,"Market cap",TRUE)</f>
        <v>3546119000</v>
      </c>
    </row>
    <row r="102" spans="1:13" ht="20" x14ac:dyDescent="0.25">
      <c r="A102" s="6" t="s">
        <v>87</v>
      </c>
      <c r="B102" s="10">
        <v>11460000</v>
      </c>
      <c r="C102" s="10">
        <v>76968000</v>
      </c>
      <c r="D102" s="10">
        <v>224464000</v>
      </c>
      <c r="E102" s="10">
        <v>131895000</v>
      </c>
      <c r="L102" s="42" t="s">
        <v>145</v>
      </c>
      <c r="M102" s="43">
        <f>M101/M103</f>
        <v>0.99885104999777474</v>
      </c>
    </row>
    <row r="103" spans="1:13" ht="20" x14ac:dyDescent="0.25">
      <c r="A103" s="5" t="s">
        <v>88</v>
      </c>
      <c r="B103" s="1">
        <v>23305000</v>
      </c>
      <c r="C103" s="1">
        <v>34765000</v>
      </c>
      <c r="D103" s="1">
        <v>111733000</v>
      </c>
      <c r="E103" s="1">
        <v>336197000</v>
      </c>
      <c r="L103" s="42" t="s">
        <v>146</v>
      </c>
      <c r="M103" s="48">
        <f>M99+M101</f>
        <v>3550198000</v>
      </c>
    </row>
    <row r="104" spans="1:13" ht="20" thickBot="1" x14ac:dyDescent="0.3">
      <c r="A104" s="7" t="s">
        <v>89</v>
      </c>
      <c r="B104" s="11">
        <v>34765000</v>
      </c>
      <c r="C104" s="11">
        <v>111733000</v>
      </c>
      <c r="D104" s="11">
        <v>336197000</v>
      </c>
      <c r="E104" s="11">
        <v>468092000</v>
      </c>
      <c r="L104" s="67" t="s">
        <v>147</v>
      </c>
      <c r="M104" s="67"/>
    </row>
    <row r="105" spans="1:13" ht="21" thickTop="1" x14ac:dyDescent="0.25">
      <c r="A105" s="16" t="s">
        <v>102</v>
      </c>
      <c r="B105" s="1">
        <f t="shared" ref="B105:D105" si="25">(B22*(1-$M$91))+B77+B88+B81</f>
        <v>23275185.662146769</v>
      </c>
      <c r="C105" s="1">
        <f t="shared" si="25"/>
        <v>74388289.758319959</v>
      </c>
      <c r="D105" s="1">
        <f t="shared" si="25"/>
        <v>57639485.854193851</v>
      </c>
      <c r="E105" s="1">
        <f>(E22*(1-$M$91))+E77+E88+E81</f>
        <v>132163345.70970128</v>
      </c>
      <c r="F105" s="35">
        <f>E105*(1+$M$106)</f>
        <v>185689424.04120198</v>
      </c>
      <c r="G105" s="35">
        <f t="shared" ref="G105:J105" si="26">F105*(1+$M$106)</f>
        <v>260893533.04122898</v>
      </c>
      <c r="H105" s="35">
        <f t="shared" si="26"/>
        <v>366555262.55298221</v>
      </c>
      <c r="I105" s="35">
        <f t="shared" si="26"/>
        <v>515009931.21225578</v>
      </c>
      <c r="J105" s="35">
        <f t="shared" si="26"/>
        <v>723588654.54541147</v>
      </c>
      <c r="K105" s="36" t="s">
        <v>148</v>
      </c>
      <c r="L105" s="49" t="s">
        <v>149</v>
      </c>
      <c r="M105" s="50">
        <f>(M100*M92)+(M102*M97)</f>
        <v>0.14530408401568481</v>
      </c>
    </row>
    <row r="106" spans="1:13" ht="19" x14ac:dyDescent="0.25">
      <c r="A106" s="16" t="s">
        <v>103</v>
      </c>
      <c r="B106" s="17" t="e">
        <f t="shared" ref="B106" si="27">(B107/A107)-1</f>
        <v>#VALUE!</v>
      </c>
      <c r="C106" s="17">
        <f t="shared" ref="C106" si="28">(C107/B107)-1</f>
        <v>1.9156701244098286</v>
      </c>
      <c r="D106" s="17">
        <f t="shared" ref="D106" si="29">(D107/C107)-1</f>
        <v>-0.28527019999054415</v>
      </c>
      <c r="E106" s="17">
        <f t="shared" ref="E106" si="30">(E107/D107)-1</f>
        <v>1.349947907192115</v>
      </c>
      <c r="F106" s="37">
        <v>255100000</v>
      </c>
      <c r="G106" s="37">
        <v>317700000</v>
      </c>
      <c r="H106" s="37">
        <v>394000000</v>
      </c>
      <c r="I106" s="37">
        <v>669300000</v>
      </c>
      <c r="J106" s="37">
        <v>987700000</v>
      </c>
      <c r="K106" s="36" t="s">
        <v>150</v>
      </c>
      <c r="L106" s="51" t="s">
        <v>151</v>
      </c>
      <c r="M106" s="52">
        <f>(SUM(F4:J4)/5)</f>
        <v>0.40499941980185267</v>
      </c>
    </row>
    <row r="107" spans="1:13" ht="19" x14ac:dyDescent="0.25">
      <c r="A107" s="14" t="s">
        <v>93</v>
      </c>
      <c r="B107" s="1">
        <v>29017000</v>
      </c>
      <c r="C107" s="1">
        <v>84604000</v>
      </c>
      <c r="D107" s="1">
        <v>60469000</v>
      </c>
      <c r="E107" s="1">
        <v>142099000</v>
      </c>
      <c r="F107" s="36"/>
      <c r="G107" s="36"/>
      <c r="H107" s="36"/>
      <c r="I107" s="36"/>
      <c r="J107" s="38">
        <f>J106*(1+M107)/(M108-M107)</f>
        <v>8415279566.6355581</v>
      </c>
      <c r="K107" s="39" t="s">
        <v>152</v>
      </c>
      <c r="L107" s="53" t="s">
        <v>153</v>
      </c>
      <c r="M107" s="54">
        <v>2.5000000000000001E-2</v>
      </c>
    </row>
    <row r="108" spans="1:13" ht="19" x14ac:dyDescent="0.25">
      <c r="A108" s="5"/>
      <c r="B108" s="13"/>
      <c r="C108" s="13"/>
      <c r="D108" s="13"/>
      <c r="E108" s="13"/>
      <c r="F108" s="38">
        <f t="shared" ref="F108:I108" si="31">F107+F106</f>
        <v>255100000</v>
      </c>
      <c r="G108" s="38">
        <f t="shared" si="31"/>
        <v>317700000</v>
      </c>
      <c r="H108" s="38">
        <f t="shared" si="31"/>
        <v>394000000</v>
      </c>
      <c r="I108" s="38">
        <f t="shared" si="31"/>
        <v>669300000</v>
      </c>
      <c r="J108" s="38">
        <f>J107+J106</f>
        <v>9402979566.6355591</v>
      </c>
      <c r="K108" s="39" t="s">
        <v>146</v>
      </c>
      <c r="L108" s="55" t="s">
        <v>154</v>
      </c>
      <c r="M108" s="52">
        <f>M105</f>
        <v>0.14530408401568481</v>
      </c>
    </row>
    <row r="109" spans="1:13" ht="19" x14ac:dyDescent="0.25">
      <c r="F109" s="64" t="s">
        <v>155</v>
      </c>
      <c r="G109" s="64"/>
    </row>
    <row r="110" spans="1:13" ht="20" x14ac:dyDescent="0.25">
      <c r="F110" s="56" t="s">
        <v>156</v>
      </c>
      <c r="G110" s="47">
        <f>NPV(M108,F108,G108,H108,I108,J108)</f>
        <v>5887758313.1546698</v>
      </c>
    </row>
    <row r="111" spans="1:13" ht="20" x14ac:dyDescent="0.25">
      <c r="F111" s="56" t="s">
        <v>157</v>
      </c>
      <c r="G111" s="47">
        <f>E40</f>
        <v>469387000</v>
      </c>
    </row>
    <row r="112" spans="1:13" ht="20" x14ac:dyDescent="0.25">
      <c r="F112" s="56" t="s">
        <v>142</v>
      </c>
      <c r="G112" s="47">
        <f>M99</f>
        <v>4079000</v>
      </c>
    </row>
    <row r="113" spans="6:7" ht="20" x14ac:dyDescent="0.25">
      <c r="F113" s="56" t="s">
        <v>158</v>
      </c>
      <c r="G113" s="47">
        <f>G110+G111-G112</f>
        <v>6353066313.1546698</v>
      </c>
    </row>
    <row r="114" spans="6:7" ht="20" x14ac:dyDescent="0.25">
      <c r="F114" s="56" t="s">
        <v>163</v>
      </c>
      <c r="G114" s="56">
        <f>E34*(1+(K16*5))</f>
        <v>348782722.99763072</v>
      </c>
    </row>
    <row r="115" spans="6:7" ht="20" x14ac:dyDescent="0.25">
      <c r="F115" s="57" t="s">
        <v>159</v>
      </c>
      <c r="G115" s="58">
        <f>G113/G114</f>
        <v>18.214968501171505</v>
      </c>
    </row>
    <row r="116" spans="6:7" ht="20" x14ac:dyDescent="0.25">
      <c r="F116" s="56" t="s">
        <v>160</v>
      </c>
      <c r="G116" s="59" cm="1">
        <f t="array" ref="G116">_FV(A1,"Price")</f>
        <v>12.07</v>
      </c>
    </row>
    <row r="117" spans="6:7" ht="20" x14ac:dyDescent="0.25">
      <c r="F117" s="57" t="s">
        <v>161</v>
      </c>
      <c r="G117" s="60">
        <f>G115/G116-1</f>
        <v>0.50911089487750649</v>
      </c>
    </row>
    <row r="118" spans="6:7" ht="20" x14ac:dyDescent="0.25">
      <c r="F118" s="57" t="s">
        <v>162</v>
      </c>
      <c r="G118" s="61" t="str">
        <f>IF(G115&gt;G116,"BUY","SELL")</f>
        <v>BUY</v>
      </c>
    </row>
  </sheetData>
  <mergeCells count="6">
    <mergeCell ref="F109:G109"/>
    <mergeCell ref="L83:M83"/>
    <mergeCell ref="L84:M84"/>
    <mergeCell ref="L93:M93"/>
    <mergeCell ref="L98:M98"/>
    <mergeCell ref="L104:M104"/>
  </mergeCells>
  <hyperlinks>
    <hyperlink ref="F1" r:id="rId1" display="https://finbox.com/NASDAQGS:DLO/explorer/revenue_proj" xr:uid="{ABA24D10-0CEB-8B4F-8BE7-F2BA3D5A8154}"/>
    <hyperlink ref="K106"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2023-05-24T02:57:40Z</dcterms:created>
  <dcterms:modified xsi:type="dcterms:W3CDTF">2023-07-09T11:27:56Z</dcterms:modified>
</cp:coreProperties>
</file>