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B5E60EB9-A0FD-3F4D-BD28-80263E596F6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4" i="1" l="1"/>
  <c r="S108" i="1"/>
  <c r="T108" i="1"/>
  <c r="U108" i="1"/>
  <c r="V108" i="1"/>
  <c r="T116" i="1" a="1"/>
  <c r="T116" i="1" s="1"/>
  <c r="Z101" i="1" a="1"/>
  <c r="Z101" i="1" s="1"/>
  <c r="Z95" i="1" a="1"/>
  <c r="Z95" i="1" s="1"/>
  <c r="Z97" i="1" s="1"/>
  <c r="T111" i="1"/>
  <c r="Z94" i="1"/>
  <c r="Z90" i="1"/>
  <c r="Z89" i="1"/>
  <c r="Z91" i="1" s="1"/>
  <c r="Z87" i="1"/>
  <c r="Z86" i="1"/>
  <c r="Z85" i="1"/>
  <c r="W30" i="1"/>
  <c r="V30" i="1"/>
  <c r="U30" i="1"/>
  <c r="T30" i="1"/>
  <c r="S30" i="1"/>
  <c r="W29" i="1"/>
  <c r="V29" i="1"/>
  <c r="U29" i="1"/>
  <c r="T29" i="1"/>
  <c r="S29" i="1"/>
  <c r="W21" i="1"/>
  <c r="V21" i="1"/>
  <c r="U21" i="1"/>
  <c r="T21" i="1"/>
  <c r="S21" i="1"/>
  <c r="W20" i="1"/>
  <c r="V20" i="1"/>
  <c r="U20" i="1"/>
  <c r="T20" i="1"/>
  <c r="S20" i="1"/>
  <c r="X19" i="1"/>
  <c r="X16" i="1"/>
  <c r="AA13" i="1"/>
  <c r="Z13" i="1"/>
  <c r="Y13" i="1"/>
  <c r="X13" i="1"/>
  <c r="Z10" i="1"/>
  <c r="Y10" i="1"/>
  <c r="AA7" i="1"/>
  <c r="Z7" i="1"/>
  <c r="Y7" i="1"/>
  <c r="X7" i="1"/>
  <c r="AA4" i="1"/>
  <c r="Z4" i="1"/>
  <c r="Y4" i="1"/>
  <c r="X4" i="1"/>
  <c r="W4" i="1"/>
  <c r="V4" i="1"/>
  <c r="U4" i="1"/>
  <c r="T4" i="1"/>
  <c r="S4" i="1"/>
  <c r="G89" i="1"/>
  <c r="H89" i="1"/>
  <c r="I89" i="1"/>
  <c r="J89" i="1"/>
  <c r="K89" i="1"/>
  <c r="L89" i="1"/>
  <c r="M89" i="1"/>
  <c r="N89" i="1"/>
  <c r="O89" i="1"/>
  <c r="P89" i="1"/>
  <c r="Q89" i="1"/>
  <c r="R89" i="1"/>
  <c r="AA10" i="1" s="1"/>
  <c r="F80" i="1"/>
  <c r="G80" i="1"/>
  <c r="H80" i="1"/>
  <c r="I80" i="1"/>
  <c r="J80" i="1"/>
  <c r="K80" i="1"/>
  <c r="L80" i="1"/>
  <c r="M80" i="1"/>
  <c r="N80" i="1"/>
  <c r="O80" i="1"/>
  <c r="P80" i="1"/>
  <c r="Q80" i="1"/>
  <c r="R80" i="1"/>
  <c r="G35" i="1"/>
  <c r="H35" i="1"/>
  <c r="I35" i="1"/>
  <c r="J35" i="1"/>
  <c r="K35" i="1"/>
  <c r="L35" i="1"/>
  <c r="M35" i="1"/>
  <c r="N35" i="1"/>
  <c r="O35" i="1"/>
  <c r="P35" i="1"/>
  <c r="Q35" i="1"/>
  <c r="R35" i="1"/>
  <c r="G29" i="1"/>
  <c r="H29" i="1"/>
  <c r="I29" i="1"/>
  <c r="J29" i="1"/>
  <c r="K29" i="1"/>
  <c r="L29" i="1"/>
  <c r="M29" i="1"/>
  <c r="N29" i="1"/>
  <c r="O29" i="1"/>
  <c r="P29" i="1"/>
  <c r="Q29" i="1"/>
  <c r="R29" i="1"/>
  <c r="G20" i="1"/>
  <c r="H20" i="1"/>
  <c r="I20" i="1"/>
  <c r="J20" i="1"/>
  <c r="K20" i="1"/>
  <c r="L20" i="1"/>
  <c r="M20" i="1"/>
  <c r="N20" i="1"/>
  <c r="O20" i="1"/>
  <c r="P20" i="1"/>
  <c r="Q20" i="1"/>
  <c r="R20" i="1"/>
  <c r="J13" i="1"/>
  <c r="K13" i="1"/>
  <c r="L13" i="1"/>
  <c r="M13" i="1"/>
  <c r="N13" i="1"/>
  <c r="O13" i="1"/>
  <c r="P13" i="1"/>
  <c r="Q13" i="1"/>
  <c r="R13" i="1"/>
  <c r="J9" i="1"/>
  <c r="K9" i="1"/>
  <c r="L9" i="1"/>
  <c r="M9" i="1"/>
  <c r="N9" i="1"/>
  <c r="O9" i="1"/>
  <c r="P9" i="1"/>
  <c r="Q9" i="1"/>
  <c r="R9" i="1"/>
  <c r="X10" i="1" s="1"/>
  <c r="G106" i="1"/>
  <c r="H106" i="1"/>
  <c r="I106" i="1"/>
  <c r="J106" i="1"/>
  <c r="K106" i="1"/>
  <c r="L106" i="1"/>
  <c r="M106" i="1"/>
  <c r="N106" i="1"/>
  <c r="O106" i="1"/>
  <c r="P106" i="1"/>
  <c r="Q106" i="1"/>
  <c r="R106" i="1"/>
  <c r="H105" i="1"/>
  <c r="I105" i="1"/>
  <c r="J105" i="1"/>
  <c r="K105" i="1"/>
  <c r="L105" i="1"/>
  <c r="M105" i="1"/>
  <c r="N105" i="1"/>
  <c r="O105" i="1"/>
  <c r="P105" i="1"/>
  <c r="Q105" i="1"/>
  <c r="R105" i="1"/>
  <c r="G105" i="1"/>
  <c r="F105" i="1"/>
  <c r="E105" i="1"/>
  <c r="D105" i="1"/>
  <c r="C105" i="1"/>
  <c r="F106" i="1"/>
  <c r="E106" i="1"/>
  <c r="D106" i="1"/>
  <c r="C106" i="1"/>
  <c r="F89" i="1"/>
  <c r="E89" i="1"/>
  <c r="D89" i="1"/>
  <c r="C89" i="1"/>
  <c r="B89" i="1"/>
  <c r="E80" i="1"/>
  <c r="D80" i="1"/>
  <c r="C80" i="1"/>
  <c r="B80" i="1"/>
  <c r="F35" i="1"/>
  <c r="E35" i="1"/>
  <c r="D35" i="1"/>
  <c r="C35" i="1"/>
  <c r="F29" i="1"/>
  <c r="E29" i="1"/>
  <c r="D29" i="1"/>
  <c r="C29" i="1"/>
  <c r="F20" i="1"/>
  <c r="E20" i="1"/>
  <c r="D20" i="1"/>
  <c r="C20" i="1"/>
  <c r="I13" i="1"/>
  <c r="H13" i="1"/>
  <c r="G13" i="1"/>
  <c r="F13" i="1"/>
  <c r="E13" i="1"/>
  <c r="D13" i="1"/>
  <c r="C13" i="1"/>
  <c r="B13" i="1"/>
  <c r="I9" i="1"/>
  <c r="H9" i="1"/>
  <c r="G9" i="1"/>
  <c r="F9" i="1"/>
  <c r="E9" i="1"/>
  <c r="D9" i="1"/>
  <c r="C9" i="1"/>
  <c r="B9" i="1"/>
  <c r="G4" i="1"/>
  <c r="H4" i="1"/>
  <c r="I4" i="1"/>
  <c r="J4" i="1"/>
  <c r="K4" i="1"/>
  <c r="L4" i="1"/>
  <c r="M4" i="1"/>
  <c r="N4" i="1"/>
  <c r="O4" i="1"/>
  <c r="P4" i="1"/>
  <c r="Q4" i="1"/>
  <c r="R4" i="1"/>
  <c r="F4" i="1"/>
  <c r="E4" i="1"/>
  <c r="D4" i="1"/>
  <c r="C4" i="1"/>
  <c r="Z106" i="1" l="1"/>
  <c r="S105" i="1" s="1"/>
  <c r="T105" i="1" s="1"/>
  <c r="U105" i="1" s="1"/>
  <c r="V105" i="1" s="1"/>
  <c r="W105" i="1" s="1"/>
  <c r="Z99" i="1"/>
  <c r="Z19" i="1"/>
  <c r="Y19" i="1"/>
  <c r="AA22" i="1"/>
  <c r="AA16" i="1"/>
  <c r="Y16" i="1"/>
  <c r="Z22" i="1"/>
  <c r="Z16" i="1"/>
  <c r="Z103" i="1"/>
  <c r="Z102" i="1" s="1"/>
  <c r="T112" i="1"/>
  <c r="Z88" i="1"/>
  <c r="Z92" i="1" s="1"/>
  <c r="AA19" i="1" l="1"/>
  <c r="Z100" i="1"/>
  <c r="Z105" i="1" s="1"/>
  <c r="Z108" i="1" s="1"/>
  <c r="W107" i="1" s="1"/>
  <c r="W108" i="1" s="1"/>
  <c r="T110" i="1" l="1"/>
  <c r="T113" i="1" s="1"/>
  <c r="T115" i="1" s="1"/>
  <c r="T118" i="1" l="1"/>
  <c r="T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<sst xmlns="http://schemas.openxmlformats.org/spreadsheetml/2006/main" count="761" uniqueCount="168">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</sst>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0" fontId="1" fillId="0" borderId="0" xfId="0" applyFont="1" applyAlignment="1">
      <alignment inden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0"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164" fontId="1" fillId="4"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70" fontId="1" fillId="4" borderId="0" xfId="0" applyNumberFormat="1" applyFont="1" applyFill="1"/>
    <xf numFmtId="9" fontId="12" fillId="6" borderId="0" xfId="1" applyFont="1" applyFill="1" applyBorder="1"/>
    <xf numFmtId="0" fontId="12" fillId="6" borderId="0" xfId="0" applyFont="1" applyFill="1" applyAlignment="1">
      <alignment horizontal="right"/>
    </xf>
    <xf numFmtId="0" fontId="1" fillId="6" borderId="0" xfId="0" applyFont="1" applyFill="1" applyAlignment="1">
      <alignment horizontal="center"/>
    </xf>
    <xf numFmtId="0" fontId="15" fillId="6" borderId="0" xfId="0" applyFont="1" applyFill="1" applyAlignment="1">
      <alignment horizontal="center"/>
    </xf>
    <xf numFmtId="0" fontId="16" fillId="6" borderId="0" xfId="0" applyFont="1" applyFill="1" applyAlignment="1">
      <alignment horizontal="center"/>
    </xf>
    <xf numFmtId="0" fontId="12" fillId="7" borderId="0" xfId="0" applyFont="1" applyFill="1" applyAlignment="1">
      <alignment horizontal="center" vertical="center" wrapText="1"/>
    </xf>
    <xf numFmtId="0" fontId="12" fillId="4"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Celsius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013229950007731E-2"/>
          <c:y val="0.13415645496967349"/>
          <c:w val="0.85522293389376325"/>
          <c:h val="0.7274001916621808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1'!$B$3:$R$3</c:f>
              <c:numCache>
                <c:formatCode>#,###,,;\(#,###,,\);\ \-\ \-</c:formatCode>
                <c:ptCount val="17"/>
                <c:pt idx="0">
                  <c:v>0</c:v>
                </c:pt>
                <c:pt idx="1">
                  <c:v>1644780</c:v>
                </c:pt>
                <c:pt idx="2">
                  <c:v>2589887</c:v>
                </c:pt>
                <c:pt idx="3">
                  <c:v>5867895</c:v>
                </c:pt>
                <c:pt idx="4">
                  <c:v>8312960</c:v>
                </c:pt>
                <c:pt idx="5">
                  <c:v>0</c:v>
                </c:pt>
                <c:pt idx="6">
                  <c:v>7684005</c:v>
                </c:pt>
                <c:pt idx="7">
                  <c:v>10612900</c:v>
                </c:pt>
                <c:pt idx="8">
                  <c:v>14610090</c:v>
                </c:pt>
                <c:pt idx="9">
                  <c:v>17217944</c:v>
                </c:pt>
                <c:pt idx="10">
                  <c:v>22760987</c:v>
                </c:pt>
                <c:pt idx="11">
                  <c:v>36164064</c:v>
                </c:pt>
                <c:pt idx="12">
                  <c:v>52603986</c:v>
                </c:pt>
                <c:pt idx="13">
                  <c:v>75146546</c:v>
                </c:pt>
                <c:pt idx="14">
                  <c:v>130725777</c:v>
                </c:pt>
                <c:pt idx="15">
                  <c:v>314271559</c:v>
                </c:pt>
                <c:pt idx="16">
                  <c:v>653604000</c:v>
                </c:pt>
              </c:numCache>
            </c:numRef>
          </c:val>
          <c:extLst>
            <c:ext xmlns:c16="http://schemas.microsoft.com/office/drawing/2014/chart" uri="{C3380CC4-5D6E-409C-BE32-E72D297353CC}">
              <c16:uniqueId val="{00000000-C515-134E-B233-18363A01E29B}"/>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1'!$B$28:$R$28</c:f>
              <c:numCache>
                <c:formatCode>#,###,,;\(#,###,,\);\ \-\ \-</c:formatCode>
                <c:ptCount val="17"/>
                <c:pt idx="0">
                  <c:v>-12960</c:v>
                </c:pt>
                <c:pt idx="1">
                  <c:v>-3725841</c:v>
                </c:pt>
                <c:pt idx="2">
                  <c:v>-5261600</c:v>
                </c:pt>
                <c:pt idx="3">
                  <c:v>-7759029</c:v>
                </c:pt>
                <c:pt idx="4">
                  <c:v>-19497402</c:v>
                </c:pt>
                <c:pt idx="5">
                  <c:v>0</c:v>
                </c:pt>
                <c:pt idx="6">
                  <c:v>-2814902</c:v>
                </c:pt>
                <c:pt idx="7">
                  <c:v>-1779369</c:v>
                </c:pt>
                <c:pt idx="8">
                  <c:v>-2027136</c:v>
                </c:pt>
                <c:pt idx="9">
                  <c:v>-2149804</c:v>
                </c:pt>
                <c:pt idx="10">
                  <c:v>-3067615</c:v>
                </c:pt>
                <c:pt idx="11">
                  <c:v>-8240583</c:v>
                </c:pt>
                <c:pt idx="12">
                  <c:v>-11206648</c:v>
                </c:pt>
                <c:pt idx="13">
                  <c:v>9971260</c:v>
                </c:pt>
                <c:pt idx="14">
                  <c:v>8523849</c:v>
                </c:pt>
                <c:pt idx="15">
                  <c:v>3937273</c:v>
                </c:pt>
                <c:pt idx="16">
                  <c:v>-187282000</c:v>
                </c:pt>
              </c:numCache>
            </c:numRef>
          </c:val>
          <c:extLst>
            <c:ext xmlns:c16="http://schemas.microsoft.com/office/drawing/2014/chart" uri="{C3380CC4-5D6E-409C-BE32-E72D297353CC}">
              <c16:uniqueId val="{00000001-C515-134E-B233-18363A01E29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1'!$B$107:$R$107</c:f>
              <c:numCache>
                <c:formatCode>#,###,,;\(#,###,,\);\ \-\ \-</c:formatCode>
                <c:ptCount val="17"/>
                <c:pt idx="0">
                  <c:v>-15060</c:v>
                </c:pt>
                <c:pt idx="1">
                  <c:v>-2638350</c:v>
                </c:pt>
                <c:pt idx="2">
                  <c:v>-4991217</c:v>
                </c:pt>
                <c:pt idx="3">
                  <c:v>-9696179</c:v>
                </c:pt>
                <c:pt idx="4">
                  <c:v>-14292306</c:v>
                </c:pt>
                <c:pt idx="5">
                  <c:v>0</c:v>
                </c:pt>
                <c:pt idx="6">
                  <c:v>-2887763</c:v>
                </c:pt>
                <c:pt idx="7">
                  <c:v>-2156541</c:v>
                </c:pt>
                <c:pt idx="8">
                  <c:v>-2931710</c:v>
                </c:pt>
                <c:pt idx="9">
                  <c:v>-765567</c:v>
                </c:pt>
                <c:pt idx="10">
                  <c:v>-2394242</c:v>
                </c:pt>
                <c:pt idx="11">
                  <c:v>-8467659</c:v>
                </c:pt>
                <c:pt idx="12">
                  <c:v>-11756837</c:v>
                </c:pt>
                <c:pt idx="13">
                  <c:v>956014</c:v>
                </c:pt>
                <c:pt idx="14">
                  <c:v>2821333</c:v>
                </c:pt>
                <c:pt idx="15">
                  <c:v>-99736694</c:v>
                </c:pt>
                <c:pt idx="16">
                  <c:v>99918000</c:v>
                </c:pt>
              </c:numCache>
            </c:numRef>
          </c:val>
          <c:extLst>
            <c:ext xmlns:c16="http://schemas.microsoft.com/office/drawing/2014/chart" uri="{C3380CC4-5D6E-409C-BE32-E72D297353CC}">
              <c16:uniqueId val="{00000002-C515-134E-B233-18363A01E29B}"/>
            </c:ext>
          </c:extLst>
        </c:ser>
        <c:dLbls>
          <c:showLegendKey val="0"/>
          <c:showVal val="0"/>
          <c:showCatName val="0"/>
          <c:showSerName val="0"/>
          <c:showPercent val="0"/>
          <c:showBubbleSize val="0"/>
        </c:dLbls>
        <c:gapWidth val="100"/>
        <c:overlap val="-24"/>
        <c:axId val="864823776"/>
        <c:axId val="864893248"/>
      </c:barChart>
      <c:catAx>
        <c:axId val="8648237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4893248"/>
        <c:crosses val="autoZero"/>
        <c:auto val="1"/>
        <c:lblAlgn val="ctr"/>
        <c:lblOffset val="100"/>
        <c:noMultiLvlLbl val="0"/>
      </c:catAx>
      <c:valAx>
        <c:axId val="864893248"/>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64823776"/>
        <c:crosses val="autoZero"/>
        <c:crossBetween val="between"/>
      </c:valAx>
      <c:spPr>
        <a:noFill/>
        <a:ln>
          <a:noFill/>
        </a:ln>
        <a:effectLst/>
      </c:spPr>
    </c:plotArea>
    <c:legend>
      <c:legendPos val="b"/>
      <c:layout>
        <c:manualLayout>
          <c:xMode val="edge"/>
          <c:yMode val="edge"/>
          <c:x val="0.34371458654235787"/>
          <c:y val="0.90611231780949675"/>
          <c:w val="0.31522765342179382"/>
          <c:h val="5.578668067846354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7056</xdr:colOff>
      <xdr:row>108</xdr:row>
      <xdr:rowOff>18345</xdr:rowOff>
    </xdr:from>
    <xdr:to>
      <xdr:col>26</xdr:col>
      <xdr:colOff>0</xdr:colOff>
      <xdr:row>128</xdr:row>
      <xdr:rowOff>183445</xdr:rowOff>
    </xdr:to>
    <xdr:graphicFrame macro="">
      <xdr:nvGraphicFramePr>
        <xdr:cNvPr id="2" name="Chart 1">
          <a:extLst>
            <a:ext uri="{FF2B5EF4-FFF2-40B4-BE49-F238E27FC236}">
              <a16:creationId xmlns:a16="http://schemas.microsoft.com/office/drawing/2014/main" id="{A8BC8F3D-B36D-69B4-2CE3-C69997CB30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4.0480000000000002E-2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https://www.bing.com/financeapi/forcetrigger?t=a1pghw&amp;q=XNAS%3aCELH&amp;form=skydnc</v>
    <v>Learn more on Bing</v>
  </rv>
  <rv s="1">
    <v>0</v>
    <v>CELSIUS HOLDINGS, INC. (XNAS:CELH)</v>
    <v>2</v>
    <v>3</v>
    <v>Finance</v>
    <v>4</v>
    <v>en-US</v>
    <v>a1pghw</v>
    <v>268435456</v>
    <v>1</v>
    <v>Powered by Refinitiv</v>
    <v>153.94</v>
    <v>69.540000000000006</v>
    <v>1.8394999999999999</v>
    <v>-0.04</v>
    <v>-2.7389999999999999E-4</v>
    <v>0.04</v>
    <v>2.7399999999999999E-4</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149.16</v>
    <v>Beverages</v>
    <v>Stock</v>
    <v>45114.999770601564</v>
    <v>0</v>
    <v>145.77000000000001</v>
    <v>11211990000</v>
    <v>CELSIUS HOLDINGS, INC.</v>
    <v>CELSIUS HOLDINGS, INC.</v>
    <v>146.97</v>
    <v>429.56240000000003</v>
    <v>146.05000000000001</v>
    <v>146.01</v>
    <v>146.05000000000001</v>
    <v>76789200</v>
    <v>CELH</v>
    <v>CELSIUS HOLDINGS, INC. (XNAS:CELH)</v>
    <v>720089</v>
    <v>1421309</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CM:CELH/explorer/fcf_unlev_proj" TargetMode="External"/><Relationship Id="rId1" Type="http://schemas.openxmlformats.org/officeDocument/2006/relationships/hyperlink" Target="https://finbox.com/NASDAQCM:CEL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topLeftCell="A73" zoomScale="80" zoomScaleNormal="80" workbookViewId="0">
      <pane xSplit="1" topLeftCell="O1" activePane="topRight" state="frozen"/>
      <selection pane="topRight" activeCell="T95" sqref="T95"/>
    </sheetView>
  </sheetViews>
  <sheetFormatPr baseColWidth="10" defaultRowHeight="16" x14ac:dyDescent="0.2"/>
  <cols>
    <col min="1" max="1" width="50" customWidth="1"/>
    <col min="2" max="18" width="14.83203125" customWidth="1"/>
    <col min="19" max="27" width="20.83203125" customWidth="1"/>
  </cols>
  <sheetData>
    <row r="1" spans="1:38"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8">
        <v>2022</v>
      </c>
      <c r="S1" s="34">
        <v>2023</v>
      </c>
      <c r="T1" s="34">
        <v>2024</v>
      </c>
      <c r="U1" s="34">
        <v>2025</v>
      </c>
      <c r="V1" s="34">
        <v>2026</v>
      </c>
      <c r="W1" s="3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c r="W2" s="9"/>
      <c r="X2" s="9"/>
      <c r="Y2" s="9"/>
      <c r="Z2" s="9"/>
      <c r="AA2" s="9"/>
    </row>
    <row r="3" spans="1:38" ht="40" x14ac:dyDescent="0.25">
      <c r="A3" s="5" t="s">
        <v>1</v>
      </c>
      <c r="B3" s="1" t="s">
        <v>91</v>
      </c>
      <c r="C3" s="1">
        <v>1644780</v>
      </c>
      <c r="D3" s="1">
        <v>2589887</v>
      </c>
      <c r="E3" s="1">
        <v>5867895</v>
      </c>
      <c r="F3" s="1">
        <v>8312960</v>
      </c>
      <c r="G3" s="1" t="s">
        <v>91</v>
      </c>
      <c r="H3" s="1">
        <v>7684005</v>
      </c>
      <c r="I3" s="1">
        <v>10612900</v>
      </c>
      <c r="J3" s="1">
        <v>14610090</v>
      </c>
      <c r="K3" s="1">
        <v>17217944</v>
      </c>
      <c r="L3" s="1">
        <v>22760987</v>
      </c>
      <c r="M3" s="1">
        <v>36164064</v>
      </c>
      <c r="N3" s="1">
        <v>52603986</v>
      </c>
      <c r="O3" s="1">
        <v>75146546</v>
      </c>
      <c r="P3" s="1">
        <v>130725777</v>
      </c>
      <c r="Q3" s="1">
        <v>314271559</v>
      </c>
      <c r="R3" s="1">
        <v>653604000</v>
      </c>
      <c r="S3" s="35">
        <v>1117000000</v>
      </c>
      <c r="T3" s="35">
        <v>1541000000</v>
      </c>
      <c r="U3" s="35">
        <v>1989000000</v>
      </c>
      <c r="V3" s="35">
        <v>1976000000</v>
      </c>
      <c r="W3" s="35">
        <v>2204000000</v>
      </c>
      <c r="X3" s="19" t="s">
        <v>114</v>
      </c>
      <c r="Y3" s="20" t="s">
        <v>115</v>
      </c>
      <c r="Z3" s="20" t="s">
        <v>116</v>
      </c>
      <c r="AA3" s="20" t="s">
        <v>117</v>
      </c>
    </row>
    <row r="4" spans="1:38" ht="19" x14ac:dyDescent="0.25">
      <c r="A4" s="14" t="s">
        <v>94</v>
      </c>
      <c r="B4" s="1"/>
      <c r="C4" s="15" t="e">
        <f>(C3/B3)-1</f>
        <v>#VALUE!</v>
      </c>
      <c r="D4" s="15">
        <f>(D3/C3)-1</f>
        <v>0.57460997823417115</v>
      </c>
      <c r="E4" s="15">
        <f>(E3/D3)-1</f>
        <v>1.2656953758986398</v>
      </c>
      <c r="F4" s="15">
        <f t="shared" ref="F4" si="0">(F3/E3)-1</f>
        <v>0.41668519971812712</v>
      </c>
      <c r="G4" s="15" t="e">
        <f t="shared" ref="G4" si="1">(G3/F3)-1</f>
        <v>#VALUE!</v>
      </c>
      <c r="H4" s="15" t="e">
        <f t="shared" ref="H4" si="2">(H3/G3)-1</f>
        <v>#VALUE!</v>
      </c>
      <c r="I4" s="15">
        <f t="shared" ref="I4" si="3">(I3/H3)-1</f>
        <v>0.38116776342545333</v>
      </c>
      <c r="J4" s="15">
        <f t="shared" ref="J4" si="4">(J3/I3)-1</f>
        <v>0.37663503849089319</v>
      </c>
      <c r="K4" s="15">
        <f t="shared" ref="K4" si="5">(K3/J3)-1</f>
        <v>0.17849677859616198</v>
      </c>
      <c r="L4" s="15">
        <f t="shared" ref="L4" si="6">(L3/K3)-1</f>
        <v>0.32193408225744036</v>
      </c>
      <c r="M4" s="15">
        <f t="shared" ref="M4" si="7">(M3/L3)-1</f>
        <v>0.58886185383788492</v>
      </c>
      <c r="N4" s="15">
        <f t="shared" ref="N4" si="8">(N3/M3)-1</f>
        <v>0.45459276921974245</v>
      </c>
      <c r="O4" s="15">
        <f t="shared" ref="O4" si="9">(O3/N3)-1</f>
        <v>0.42853330544191071</v>
      </c>
      <c r="P4" s="15">
        <f t="shared" ref="P4" si="10">(P3/O3)-1</f>
        <v>0.73961125239209258</v>
      </c>
      <c r="Q4" s="15">
        <f t="shared" ref="Q4" si="11">(Q3/P3)-1</f>
        <v>1.4040519491423638</v>
      </c>
      <c r="R4" s="15">
        <f t="shared" ref="R4:W4" si="12">(R3/Q3)-1</f>
        <v>1.0797427615777346</v>
      </c>
      <c r="S4" s="16">
        <f t="shared" si="12"/>
        <v>0.7089858691195281</v>
      </c>
      <c r="T4" s="16">
        <f t="shared" si="12"/>
        <v>0.37958818263205019</v>
      </c>
      <c r="U4" s="16">
        <f t="shared" si="12"/>
        <v>0.29072031148604793</v>
      </c>
      <c r="V4" s="16">
        <f t="shared" si="12"/>
        <v>-6.5359477124182774E-3</v>
      </c>
      <c r="W4" s="16">
        <f t="shared" si="12"/>
        <v>0.11538461538461542</v>
      </c>
      <c r="X4" s="17">
        <f>(R4+Q4+P4)/3</f>
        <v>1.0744686543707302</v>
      </c>
      <c r="Y4" s="17">
        <f>(R20+Q20+P20)/3</f>
        <v>16.849991089788219</v>
      </c>
      <c r="Z4" s="17">
        <f>(R29+Q29+P29)/3</f>
        <v>-16.416556832161564</v>
      </c>
      <c r="AA4" s="17">
        <f>(R106+Q106+P106)/3</f>
        <v>-12.133862567643561</v>
      </c>
      <c r="AB4" s="16"/>
      <c r="AC4" s="16"/>
      <c r="AD4" s="16"/>
      <c r="AE4" s="16"/>
      <c r="AF4" s="16"/>
      <c r="AI4" s="18"/>
      <c r="AJ4" s="18"/>
      <c r="AK4" s="18"/>
      <c r="AL4" s="18"/>
    </row>
    <row r="5" spans="1:38" ht="19" x14ac:dyDescent="0.25">
      <c r="A5" s="5" t="s">
        <v>2</v>
      </c>
      <c r="B5" s="1" t="s">
        <v>91</v>
      </c>
      <c r="C5" s="1" t="s">
        <v>91</v>
      </c>
      <c r="D5" s="1">
        <v>1833184</v>
      </c>
      <c r="E5" s="1">
        <v>3063142</v>
      </c>
      <c r="F5" s="1">
        <v>7217601</v>
      </c>
      <c r="G5" s="1" t="s">
        <v>91</v>
      </c>
      <c r="H5" s="1">
        <v>5371123</v>
      </c>
      <c r="I5" s="1">
        <v>6539794</v>
      </c>
      <c r="J5" s="1">
        <v>9011923</v>
      </c>
      <c r="K5" s="1">
        <v>10177986</v>
      </c>
      <c r="L5" s="1">
        <v>13031153</v>
      </c>
      <c r="M5" s="1">
        <v>20733387</v>
      </c>
      <c r="N5" s="1">
        <v>31543608</v>
      </c>
      <c r="O5" s="1">
        <v>43844733</v>
      </c>
      <c r="P5" s="1">
        <v>69752032</v>
      </c>
      <c r="Q5" s="1">
        <v>186103035</v>
      </c>
      <c r="R5" s="1">
        <v>382735000</v>
      </c>
    </row>
    <row r="6" spans="1:38" ht="20" x14ac:dyDescent="0.25">
      <c r="A6" s="6" t="s">
        <v>3</v>
      </c>
      <c r="B6" s="10" t="s">
        <v>91</v>
      </c>
      <c r="C6" s="10">
        <v>1644780</v>
      </c>
      <c r="D6" s="10">
        <v>756703</v>
      </c>
      <c r="E6" s="10">
        <v>2804753</v>
      </c>
      <c r="F6" s="10">
        <v>1095359</v>
      </c>
      <c r="G6" s="10" t="s">
        <v>91</v>
      </c>
      <c r="H6" s="10">
        <v>2312882</v>
      </c>
      <c r="I6" s="10">
        <v>4073106</v>
      </c>
      <c r="J6" s="10">
        <v>5598167</v>
      </c>
      <c r="K6" s="10">
        <v>7039958</v>
      </c>
      <c r="L6" s="10">
        <v>9729834</v>
      </c>
      <c r="M6" s="10">
        <v>15430677</v>
      </c>
      <c r="N6" s="10">
        <v>21060378</v>
      </c>
      <c r="O6" s="10">
        <v>31301813</v>
      </c>
      <c r="P6" s="10">
        <v>60973745</v>
      </c>
      <c r="Q6" s="10">
        <v>128168524</v>
      </c>
      <c r="R6" s="10">
        <v>270869000</v>
      </c>
      <c r="X6" s="19" t="s">
        <v>118</v>
      </c>
      <c r="Y6" s="20" t="s">
        <v>119</v>
      </c>
      <c r="Z6" s="20" t="s">
        <v>120</v>
      </c>
      <c r="AA6" s="20" t="s">
        <v>121</v>
      </c>
    </row>
    <row r="7" spans="1:38" ht="19" x14ac:dyDescent="0.25">
      <c r="A7" s="5" t="s">
        <v>4</v>
      </c>
      <c r="B7" s="2" t="s">
        <v>91</v>
      </c>
      <c r="C7" s="2">
        <v>1</v>
      </c>
      <c r="D7" s="2">
        <v>0.29220000000000002</v>
      </c>
      <c r="E7" s="2">
        <v>0.47799999999999998</v>
      </c>
      <c r="F7" s="2">
        <v>0.1318</v>
      </c>
      <c r="G7" s="2" t="s">
        <v>91</v>
      </c>
      <c r="H7" s="2">
        <v>0.30099999999999999</v>
      </c>
      <c r="I7" s="2">
        <v>0.38379999999999997</v>
      </c>
      <c r="J7" s="2">
        <v>0.38319999999999999</v>
      </c>
      <c r="K7" s="2">
        <v>0.40889999999999999</v>
      </c>
      <c r="L7" s="2">
        <v>0.42749999999999999</v>
      </c>
      <c r="M7" s="2">
        <v>0.42670000000000002</v>
      </c>
      <c r="N7" s="2">
        <v>0.40039999999999998</v>
      </c>
      <c r="O7" s="2">
        <v>0.41649999999999998</v>
      </c>
      <c r="P7" s="2">
        <v>0.46639999999999998</v>
      </c>
      <c r="Q7" s="2">
        <v>0.4078</v>
      </c>
      <c r="R7" s="2">
        <v>0.41439999999999999</v>
      </c>
      <c r="X7" s="17">
        <f>R7</f>
        <v>0.41439999999999999</v>
      </c>
      <c r="Y7" s="21">
        <f>R21</f>
        <v>-0.22550000000000001</v>
      </c>
      <c r="Z7" s="21">
        <f>R30</f>
        <v>-0.28649999999999998</v>
      </c>
      <c r="AA7" s="21">
        <f>R107/R3</f>
        <v>0.15287238144197404</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row>
    <row r="9" spans="1:38" ht="19" customHeight="1" x14ac:dyDescent="0.25">
      <c r="A9" s="14" t="s">
        <v>95</v>
      </c>
      <c r="B9" s="15" t="e">
        <f>B8/B3</f>
        <v>#VALUE!</v>
      </c>
      <c r="C9" s="15">
        <f t="shared" ref="C9:R9" si="13">C8/C3</f>
        <v>0</v>
      </c>
      <c r="D9" s="15">
        <f t="shared" si="13"/>
        <v>0</v>
      </c>
      <c r="E9" s="15">
        <f t="shared" si="13"/>
        <v>0</v>
      </c>
      <c r="F9" s="15">
        <f t="shared" si="13"/>
        <v>0</v>
      </c>
      <c r="G9" s="15" t="e">
        <f t="shared" si="13"/>
        <v>#VALUE!</v>
      </c>
      <c r="H9" s="15">
        <f t="shared" si="13"/>
        <v>0</v>
      </c>
      <c r="I9" s="15">
        <f t="shared" si="13"/>
        <v>0</v>
      </c>
      <c r="J9" s="15">
        <f t="shared" si="13"/>
        <v>0</v>
      </c>
      <c r="K9" s="15">
        <f t="shared" si="13"/>
        <v>0</v>
      </c>
      <c r="L9" s="15">
        <f t="shared" si="13"/>
        <v>0</v>
      </c>
      <c r="M9" s="15">
        <f t="shared" si="13"/>
        <v>0</v>
      </c>
      <c r="N9" s="15">
        <f t="shared" si="13"/>
        <v>0</v>
      </c>
      <c r="O9" s="15">
        <f t="shared" si="13"/>
        <v>0</v>
      </c>
      <c r="P9" s="15">
        <f t="shared" si="13"/>
        <v>0</v>
      </c>
      <c r="Q9" s="15">
        <f t="shared" si="13"/>
        <v>0</v>
      </c>
      <c r="R9" s="15">
        <f t="shared" si="13"/>
        <v>0</v>
      </c>
      <c r="S9" s="15"/>
      <c r="T9" s="15"/>
      <c r="X9" s="19" t="s">
        <v>96</v>
      </c>
      <c r="Y9" s="20" t="s">
        <v>97</v>
      </c>
      <c r="Z9" s="20" t="s">
        <v>98</v>
      </c>
      <c r="AA9" s="20" t="s">
        <v>99</v>
      </c>
    </row>
    <row r="10" spans="1:38" ht="19" x14ac:dyDescent="0.25">
      <c r="A10" s="5" t="s">
        <v>6</v>
      </c>
      <c r="B10" s="1" t="s">
        <v>91</v>
      </c>
      <c r="C10" s="1" t="s">
        <v>91</v>
      </c>
      <c r="D10" s="1">
        <v>1740143</v>
      </c>
      <c r="E10" s="1">
        <v>2256800</v>
      </c>
      <c r="F10" s="1">
        <v>4705393</v>
      </c>
      <c r="G10" s="1" t="s">
        <v>91</v>
      </c>
      <c r="H10" s="1">
        <v>1839833</v>
      </c>
      <c r="I10" s="1">
        <v>1547747</v>
      </c>
      <c r="J10" s="1">
        <v>2305086</v>
      </c>
      <c r="K10" s="1">
        <v>3165573</v>
      </c>
      <c r="L10" s="1">
        <v>3899031</v>
      </c>
      <c r="M10" s="1">
        <v>6899275</v>
      </c>
      <c r="N10" s="1">
        <v>10487592</v>
      </c>
      <c r="O10" s="1">
        <v>11620534</v>
      </c>
      <c r="P10" s="1">
        <v>18187406</v>
      </c>
      <c r="Q10" s="1">
        <v>57519745</v>
      </c>
      <c r="R10" s="1">
        <v>75903000</v>
      </c>
      <c r="X10" s="17">
        <f>R9</f>
        <v>0</v>
      </c>
      <c r="Y10" s="21">
        <f>R13</f>
        <v>0.65585583931554892</v>
      </c>
      <c r="Z10" s="21">
        <f>R80</f>
        <v>3.161700356790962E-2</v>
      </c>
      <c r="AA10" s="21">
        <f>R89</f>
        <v>1.2643741470370439E-2</v>
      </c>
    </row>
    <row r="11" spans="1:38" ht="19" x14ac:dyDescent="0.25">
      <c r="A11" s="5" t="s">
        <v>7</v>
      </c>
      <c r="B11" s="1" t="s">
        <v>91</v>
      </c>
      <c r="C11" s="1" t="s">
        <v>91</v>
      </c>
      <c r="D11" s="1">
        <v>3936552</v>
      </c>
      <c r="E11" s="1">
        <v>8001697</v>
      </c>
      <c r="F11" s="1">
        <v>15187499</v>
      </c>
      <c r="G11" s="1" t="s">
        <v>91</v>
      </c>
      <c r="H11" s="1">
        <v>3035836</v>
      </c>
      <c r="I11" s="1">
        <v>3947618</v>
      </c>
      <c r="J11" s="1">
        <v>4823014</v>
      </c>
      <c r="K11" s="1">
        <v>5701845</v>
      </c>
      <c r="L11" s="1">
        <v>8675763</v>
      </c>
      <c r="M11" s="1">
        <v>16611369</v>
      </c>
      <c r="N11" s="1">
        <v>21213530</v>
      </c>
      <c r="O11" s="1">
        <v>21129722</v>
      </c>
      <c r="P11" s="1">
        <v>34875339</v>
      </c>
      <c r="Q11" s="1">
        <v>74738295</v>
      </c>
      <c r="R11" s="1">
        <v>352767000</v>
      </c>
    </row>
    <row r="12" spans="1:38" ht="20" x14ac:dyDescent="0.25">
      <c r="A12" s="5" t="s">
        <v>8</v>
      </c>
      <c r="B12" s="1">
        <v>12960</v>
      </c>
      <c r="C12" s="1">
        <v>4155197</v>
      </c>
      <c r="D12" s="1">
        <v>5676695</v>
      </c>
      <c r="E12" s="1">
        <v>10258497</v>
      </c>
      <c r="F12" s="1">
        <v>19892892</v>
      </c>
      <c r="G12" s="1" t="s">
        <v>91</v>
      </c>
      <c r="H12" s="1">
        <v>4875669</v>
      </c>
      <c r="I12" s="1">
        <v>5495365</v>
      </c>
      <c r="J12" s="1">
        <v>7128100</v>
      </c>
      <c r="K12" s="1">
        <v>8867418</v>
      </c>
      <c r="L12" s="1">
        <v>12574794</v>
      </c>
      <c r="M12" s="1">
        <v>23510644</v>
      </c>
      <c r="N12" s="1">
        <v>31701122</v>
      </c>
      <c r="O12" s="1">
        <v>32750256</v>
      </c>
      <c r="P12" s="1">
        <v>53062745</v>
      </c>
      <c r="Q12" s="1">
        <v>132258040</v>
      </c>
      <c r="R12" s="1">
        <v>428670000</v>
      </c>
      <c r="X12" s="19" t="s">
        <v>122</v>
      </c>
      <c r="Y12" s="20" t="s">
        <v>123</v>
      </c>
      <c r="Z12" s="20" t="s">
        <v>124</v>
      </c>
      <c r="AA12" s="20" t="s">
        <v>125</v>
      </c>
    </row>
    <row r="13" spans="1:38" ht="19" x14ac:dyDescent="0.25">
      <c r="A13" s="14" t="s">
        <v>100</v>
      </c>
      <c r="B13" s="15" t="e">
        <f>B12/B3</f>
        <v>#VALUE!</v>
      </c>
      <c r="C13" s="15">
        <f t="shared" ref="C13:R13" si="14">C12/C3</f>
        <v>2.5262934860589259</v>
      </c>
      <c r="D13" s="15">
        <f t="shared" si="14"/>
        <v>2.1918697611131295</v>
      </c>
      <c r="E13" s="15">
        <f t="shared" si="14"/>
        <v>1.7482414051376174</v>
      </c>
      <c r="F13" s="15">
        <f t="shared" si="14"/>
        <v>2.3929974401416585</v>
      </c>
      <c r="G13" s="15" t="e">
        <f t="shared" si="14"/>
        <v>#VALUE!</v>
      </c>
      <c r="H13" s="15">
        <f t="shared" si="14"/>
        <v>0.63452184114924448</v>
      </c>
      <c r="I13" s="15">
        <f t="shared" si="14"/>
        <v>0.51780050693024526</v>
      </c>
      <c r="J13" s="15">
        <f t="shared" si="14"/>
        <v>0.48788884941844984</v>
      </c>
      <c r="K13" s="15">
        <f t="shared" si="14"/>
        <v>0.51501027068040184</v>
      </c>
      <c r="L13" s="15">
        <f t="shared" si="14"/>
        <v>0.55247138447906496</v>
      </c>
      <c r="M13" s="15">
        <f t="shared" si="14"/>
        <v>0.65011067340219286</v>
      </c>
      <c r="N13" s="15">
        <f t="shared" si="14"/>
        <v>0.60263726022586961</v>
      </c>
      <c r="O13" s="15">
        <f t="shared" si="14"/>
        <v>0.43581851386755688</v>
      </c>
      <c r="P13" s="15">
        <f t="shared" si="14"/>
        <v>0.40590881322510708</v>
      </c>
      <c r="Q13" s="15">
        <f t="shared" si="14"/>
        <v>0.42083999080553136</v>
      </c>
      <c r="R13" s="15">
        <f t="shared" si="14"/>
        <v>0.65585583931554892</v>
      </c>
      <c r="S13" s="15"/>
      <c r="T13" s="15"/>
      <c r="X13" s="17">
        <f>R28/R72</f>
        <v>-4.671422513781148</v>
      </c>
      <c r="Y13" s="21">
        <f>R28/R54</f>
        <v>-0.1532499392423832</v>
      </c>
      <c r="Z13" s="21">
        <f>R22/(R72+R56+R61)</f>
        <v>-3.8001131020157981</v>
      </c>
      <c r="AA13" s="22">
        <f>R67/R72</f>
        <v>8.916963907111322</v>
      </c>
    </row>
    <row r="14" spans="1:3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v>-29579</v>
      </c>
      <c r="P14" s="1">
        <v>81500</v>
      </c>
      <c r="Q14" s="1" t="s">
        <v>91</v>
      </c>
      <c r="R14" s="1" t="s">
        <v>91</v>
      </c>
    </row>
    <row r="15" spans="1:38" ht="20" x14ac:dyDescent="0.25">
      <c r="A15" s="5" t="s">
        <v>10</v>
      </c>
      <c r="B15" s="1">
        <v>12960</v>
      </c>
      <c r="C15" s="1">
        <v>4155197</v>
      </c>
      <c r="D15" s="1">
        <v>5676695</v>
      </c>
      <c r="E15" s="1">
        <v>10258497</v>
      </c>
      <c r="F15" s="1">
        <v>19892892</v>
      </c>
      <c r="G15" s="1" t="s">
        <v>91</v>
      </c>
      <c r="H15" s="1">
        <v>4875669</v>
      </c>
      <c r="I15" s="1">
        <v>5495365</v>
      </c>
      <c r="J15" s="1">
        <v>7128100</v>
      </c>
      <c r="K15" s="1">
        <v>8867418</v>
      </c>
      <c r="L15" s="1">
        <v>12574794</v>
      </c>
      <c r="M15" s="1">
        <v>23510644</v>
      </c>
      <c r="N15" s="1">
        <v>31701122</v>
      </c>
      <c r="O15" s="1">
        <v>32750256</v>
      </c>
      <c r="P15" s="1">
        <v>53144245</v>
      </c>
      <c r="Q15" s="1">
        <v>132258040</v>
      </c>
      <c r="R15" s="1">
        <v>428670000</v>
      </c>
      <c r="X15" s="19" t="s">
        <v>126</v>
      </c>
      <c r="Y15" s="20" t="s">
        <v>127</v>
      </c>
      <c r="Z15" s="20" t="s">
        <v>128</v>
      </c>
      <c r="AA15" s="20" t="s">
        <v>129</v>
      </c>
    </row>
    <row r="16" spans="1:38" ht="19" x14ac:dyDescent="0.25">
      <c r="A16" s="5" t="s">
        <v>11</v>
      </c>
      <c r="B16" s="1">
        <v>12960</v>
      </c>
      <c r="C16" s="1">
        <v>4155197</v>
      </c>
      <c r="D16" s="1">
        <v>7509879</v>
      </c>
      <c r="E16" s="1">
        <v>13321639</v>
      </c>
      <c r="F16" s="1">
        <v>27110493</v>
      </c>
      <c r="G16" s="1" t="s">
        <v>91</v>
      </c>
      <c r="H16" s="1">
        <v>10246792</v>
      </c>
      <c r="I16" s="1">
        <v>12035159</v>
      </c>
      <c r="J16" s="1">
        <v>16140023</v>
      </c>
      <c r="K16" s="1">
        <v>19045404</v>
      </c>
      <c r="L16" s="1">
        <v>25605947</v>
      </c>
      <c r="M16" s="1">
        <v>44244031</v>
      </c>
      <c r="N16" s="1">
        <v>63244730</v>
      </c>
      <c r="O16" s="1">
        <v>76594989</v>
      </c>
      <c r="P16" s="1">
        <v>122896277</v>
      </c>
      <c r="Q16" s="1">
        <v>318361075</v>
      </c>
      <c r="R16" s="1">
        <v>811405000</v>
      </c>
      <c r="X16" s="36">
        <f>(R35+Q35+P35)/3</f>
        <v>5.9064660153944133E-2</v>
      </c>
      <c r="Y16" s="37">
        <f>Z101/R3</f>
        <v>17.154102484072926</v>
      </c>
      <c r="Z16" s="37">
        <f>Z101/R28</f>
        <v>-59.866885231896283</v>
      </c>
      <c r="AA16" s="38">
        <f>Z101/R107</f>
        <v>112.21191376929082</v>
      </c>
    </row>
    <row r="17" spans="1:27" ht="19" x14ac:dyDescent="0.25">
      <c r="A17" s="5" t="s">
        <v>12</v>
      </c>
      <c r="B17" s="1" t="s">
        <v>91</v>
      </c>
      <c r="C17" s="1">
        <v>181453</v>
      </c>
      <c r="D17" s="1">
        <v>412049</v>
      </c>
      <c r="E17" s="1">
        <v>321622</v>
      </c>
      <c r="F17" s="1">
        <v>395925</v>
      </c>
      <c r="G17" s="1" t="s">
        <v>91</v>
      </c>
      <c r="H17" s="1" t="s">
        <v>91</v>
      </c>
      <c r="I17" s="1" t="s">
        <v>91</v>
      </c>
      <c r="J17" s="1">
        <v>497203</v>
      </c>
      <c r="K17" s="1">
        <v>322344</v>
      </c>
      <c r="L17" s="1">
        <v>228750</v>
      </c>
      <c r="M17" s="1">
        <v>160616</v>
      </c>
      <c r="N17" s="1">
        <v>188856</v>
      </c>
      <c r="O17" s="1">
        <v>1393483</v>
      </c>
      <c r="P17" s="1">
        <v>1024232</v>
      </c>
      <c r="Q17" s="1">
        <v>7505</v>
      </c>
      <c r="R17" s="1">
        <v>5292000</v>
      </c>
    </row>
    <row r="18" spans="1:27" ht="20" x14ac:dyDescent="0.25">
      <c r="A18" s="5" t="s">
        <v>13</v>
      </c>
      <c r="B18" s="1" t="s">
        <v>91</v>
      </c>
      <c r="C18" s="1">
        <v>19390</v>
      </c>
      <c r="D18" s="1">
        <v>31605</v>
      </c>
      <c r="E18" s="1">
        <v>55103</v>
      </c>
      <c r="F18" s="1">
        <v>50229</v>
      </c>
      <c r="G18" s="1" t="s">
        <v>91</v>
      </c>
      <c r="H18" s="1">
        <v>41500</v>
      </c>
      <c r="I18" s="1">
        <v>41513</v>
      </c>
      <c r="J18" s="1">
        <v>37256</v>
      </c>
      <c r="K18" s="1">
        <v>33043</v>
      </c>
      <c r="L18" s="1">
        <v>16951</v>
      </c>
      <c r="M18" s="1">
        <v>20425</v>
      </c>
      <c r="N18" s="1">
        <v>72162</v>
      </c>
      <c r="O18" s="1">
        <v>893413</v>
      </c>
      <c r="P18" s="1">
        <v>1738829</v>
      </c>
      <c r="Q18" s="1">
        <v>1263221</v>
      </c>
      <c r="R18" s="1">
        <v>1917000</v>
      </c>
      <c r="X18" s="19" t="s">
        <v>130</v>
      </c>
      <c r="Y18" s="20" t="s">
        <v>131</v>
      </c>
      <c r="Z18" s="20" t="s">
        <v>132</v>
      </c>
      <c r="AA18" s="20" t="s">
        <v>133</v>
      </c>
    </row>
    <row r="19" spans="1:27" ht="19" x14ac:dyDescent="0.25">
      <c r="A19" s="6" t="s">
        <v>14</v>
      </c>
      <c r="B19" s="10">
        <v>-12960</v>
      </c>
      <c r="C19" s="10">
        <v>-3524998</v>
      </c>
      <c r="D19" s="10">
        <v>-4817946</v>
      </c>
      <c r="E19" s="10">
        <v>-7382304</v>
      </c>
      <c r="F19" s="10">
        <v>-19051248</v>
      </c>
      <c r="G19" s="10" t="s">
        <v>91</v>
      </c>
      <c r="H19" s="10">
        <v>-2773402</v>
      </c>
      <c r="I19" s="10">
        <v>-1737856</v>
      </c>
      <c r="J19" s="10">
        <v>-1492677</v>
      </c>
      <c r="K19" s="10">
        <v>-1794417</v>
      </c>
      <c r="L19" s="10">
        <v>-2821914</v>
      </c>
      <c r="M19" s="10">
        <v>-8059542</v>
      </c>
      <c r="N19" s="10">
        <v>-10945630</v>
      </c>
      <c r="O19" s="10">
        <v>12258156</v>
      </c>
      <c r="P19" s="10">
        <v>11403087</v>
      </c>
      <c r="Q19" s="10">
        <v>-2787721</v>
      </c>
      <c r="R19" s="10">
        <v>-147370638</v>
      </c>
      <c r="S19" s="39">
        <v>184100000</v>
      </c>
      <c r="T19" s="39">
        <v>284800000</v>
      </c>
      <c r="U19" s="39">
        <v>371000000</v>
      </c>
      <c r="V19" s="39">
        <v>359500000</v>
      </c>
      <c r="W19" s="39">
        <v>403900000</v>
      </c>
      <c r="X19" s="40">
        <f>R40-R56-R61</f>
        <v>612724657</v>
      </c>
      <c r="Y19" s="37">
        <f>Z101/S3</f>
        <v>10.037591763652641</v>
      </c>
      <c r="Z19" s="37">
        <f>Z101/S28</f>
        <v>114.09139938130902</v>
      </c>
      <c r="AA19" s="38">
        <f>Z101/S105</f>
        <v>84.033769761077821</v>
      </c>
    </row>
    <row r="20" spans="1:27" ht="19" customHeight="1" x14ac:dyDescent="0.25">
      <c r="A20" s="14" t="s">
        <v>101</v>
      </c>
      <c r="B20" s="1"/>
      <c r="C20" s="15">
        <f>(C19/B19)-1</f>
        <v>270.99058641975307</v>
      </c>
      <c r="D20" s="15">
        <f>(D19/C19)-1</f>
        <v>0.36679396697530042</v>
      </c>
      <c r="E20" s="15">
        <f>(E19/D19)-1</f>
        <v>0.53225129546906502</v>
      </c>
      <c r="F20" s="15">
        <f t="shared" ref="F20" si="15">(F19/E19)-1</f>
        <v>1.5806642479095956</v>
      </c>
      <c r="G20" s="15" t="e">
        <f t="shared" ref="G20" si="16">(G19/F19)-1</f>
        <v>#VALUE!</v>
      </c>
      <c r="H20" s="15" t="e">
        <f t="shared" ref="H20" si="17">(H19/G19)-1</f>
        <v>#VALUE!</v>
      </c>
      <c r="I20" s="15">
        <f t="shared" ref="I20" si="18">(I19/H19)-1</f>
        <v>-0.3733847455219258</v>
      </c>
      <c r="J20" s="15">
        <f t="shared" ref="J20" si="19">(J19/I19)-1</f>
        <v>-0.14108130938351626</v>
      </c>
      <c r="K20" s="15">
        <f t="shared" ref="K20" si="20">(K19/J19)-1</f>
        <v>0.2021468810734004</v>
      </c>
      <c r="L20" s="15">
        <f t="shared" ref="L20" si="21">(L19/K19)-1</f>
        <v>0.57260770489802537</v>
      </c>
      <c r="M20" s="15">
        <f t="shared" ref="M20" si="22">(M19/L19)-1</f>
        <v>1.8560551455501479</v>
      </c>
      <c r="N20" s="15">
        <f t="shared" ref="N20" si="23">(N19/M19)-1</f>
        <v>0.35809578261394992</v>
      </c>
      <c r="O20" s="15">
        <f t="shared" ref="O20" si="24">(O19/N19)-1</f>
        <v>-2.1199132439156081</v>
      </c>
      <c r="P20" s="15">
        <f t="shared" ref="P20" si="25">(P19/O19)-1</f>
        <v>-6.9755108353980799E-2</v>
      </c>
      <c r="Q20" s="15">
        <f t="shared" ref="Q20" si="26">(Q19/P19)-1</f>
        <v>-1.2444707297243283</v>
      </c>
      <c r="R20" s="15">
        <f t="shared" ref="R20:W20" si="27">(R19/Q19)-1</f>
        <v>51.864199107442964</v>
      </c>
      <c r="S20" s="16">
        <f t="shared" si="27"/>
        <v>-2.2492312071011051</v>
      </c>
      <c r="T20" s="16">
        <f t="shared" si="27"/>
        <v>0.54698533405757743</v>
      </c>
      <c r="U20" s="16">
        <f t="shared" si="27"/>
        <v>0.30266853932584259</v>
      </c>
      <c r="V20" s="16">
        <f t="shared" si="27"/>
        <v>-3.0997304582210283E-2</v>
      </c>
      <c r="W20" s="16">
        <f t="shared" si="27"/>
        <v>0.12350486787204451</v>
      </c>
      <c r="Z20" s="15"/>
      <c r="AA20" s="15"/>
    </row>
    <row r="21" spans="1:27" ht="20" x14ac:dyDescent="0.25">
      <c r="A21" s="5" t="s">
        <v>15</v>
      </c>
      <c r="B21" s="2" t="s">
        <v>93</v>
      </c>
      <c r="C21" s="2">
        <v>-2.1431</v>
      </c>
      <c r="D21" s="2">
        <v>-1.8603000000000001</v>
      </c>
      <c r="E21" s="2">
        <v>-1.2581</v>
      </c>
      <c r="F21" s="2">
        <v>-2.2917999999999998</v>
      </c>
      <c r="G21" s="2" t="s">
        <v>91</v>
      </c>
      <c r="H21" s="2">
        <v>-0.3609</v>
      </c>
      <c r="I21" s="2">
        <v>-0.16370000000000001</v>
      </c>
      <c r="J21" s="2">
        <v>-0.1022</v>
      </c>
      <c r="K21" s="2">
        <v>-0.1042</v>
      </c>
      <c r="L21" s="2">
        <v>-0.124</v>
      </c>
      <c r="M21" s="2">
        <v>-0.22289999999999999</v>
      </c>
      <c r="N21" s="2">
        <v>-0.20810000000000001</v>
      </c>
      <c r="O21" s="2">
        <v>0.16309999999999999</v>
      </c>
      <c r="P21" s="2">
        <v>8.72E-2</v>
      </c>
      <c r="Q21" s="2">
        <v>-8.8999999999999999E-3</v>
      </c>
      <c r="R21" s="2">
        <v>-0.22550000000000001</v>
      </c>
      <c r="S21" s="41">
        <f>S19/S3</f>
        <v>0.164816472694718</v>
      </c>
      <c r="T21" s="41">
        <f t="shared" ref="T21:W21" si="28">T19/T3</f>
        <v>0.18481505515898766</v>
      </c>
      <c r="U21" s="41">
        <f t="shared" si="28"/>
        <v>0.18652589240824535</v>
      </c>
      <c r="V21" s="41">
        <f t="shared" si="28"/>
        <v>0.18193319838056679</v>
      </c>
      <c r="W21" s="41">
        <f t="shared" si="28"/>
        <v>0.18325771324863885</v>
      </c>
      <c r="Z21" s="19" t="s">
        <v>134</v>
      </c>
      <c r="AA21" s="20" t="s">
        <v>135</v>
      </c>
    </row>
    <row r="22" spans="1:27" ht="19" x14ac:dyDescent="0.25">
      <c r="A22" s="6" t="s">
        <v>16</v>
      </c>
      <c r="B22" s="10">
        <v>-12960</v>
      </c>
      <c r="C22" s="10">
        <v>-3544388</v>
      </c>
      <c r="D22" s="10">
        <v>-4919992</v>
      </c>
      <c r="E22" s="10">
        <v>-7453744</v>
      </c>
      <c r="F22" s="10">
        <v>-18797533</v>
      </c>
      <c r="G22" s="10" t="s">
        <v>91</v>
      </c>
      <c r="H22" s="10">
        <v>-2562787</v>
      </c>
      <c r="I22" s="10">
        <v>-1422259</v>
      </c>
      <c r="J22" s="10">
        <v>-1529933</v>
      </c>
      <c r="K22" s="10">
        <v>-1827460</v>
      </c>
      <c r="L22" s="10">
        <v>-2844960</v>
      </c>
      <c r="M22" s="10">
        <v>-8079967</v>
      </c>
      <c r="N22" s="10">
        <v>-10640744</v>
      </c>
      <c r="O22" s="10">
        <v>-1448443</v>
      </c>
      <c r="P22" s="10">
        <v>7911000</v>
      </c>
      <c r="Q22" s="10">
        <v>-4089516</v>
      </c>
      <c r="R22" s="10">
        <v>-157801000</v>
      </c>
      <c r="Z22" s="42">
        <f>(-1*R98)/Z101</f>
        <v>1.0280066250505039E-3</v>
      </c>
      <c r="AA22" s="43">
        <f>R107/Z101</f>
        <v>8.9117096964945568E-3</v>
      </c>
    </row>
    <row r="23" spans="1:27" ht="19" x14ac:dyDescent="0.25">
      <c r="A23" s="5" t="s">
        <v>17</v>
      </c>
      <c r="B23" s="2" t="s">
        <v>93</v>
      </c>
      <c r="C23" s="2">
        <v>-2.1549</v>
      </c>
      <c r="D23" s="2">
        <v>-1.8996999999999999</v>
      </c>
      <c r="E23" s="2">
        <v>-1.2703</v>
      </c>
      <c r="F23" s="2">
        <v>-2.2612000000000001</v>
      </c>
      <c r="G23" s="2" t="s">
        <v>91</v>
      </c>
      <c r="H23" s="2">
        <v>-0.33350000000000002</v>
      </c>
      <c r="I23" s="2">
        <v>-0.13400000000000001</v>
      </c>
      <c r="J23" s="2">
        <v>-0.1047</v>
      </c>
      <c r="K23" s="2">
        <v>-0.1061</v>
      </c>
      <c r="L23" s="2">
        <v>-0.125</v>
      </c>
      <c r="M23" s="2">
        <v>-0.22339999999999999</v>
      </c>
      <c r="N23" s="2">
        <v>-0.20230000000000001</v>
      </c>
      <c r="O23" s="2">
        <v>-1.9300000000000001E-2</v>
      </c>
      <c r="P23" s="2">
        <v>6.0499999999999998E-2</v>
      </c>
      <c r="Q23" s="2">
        <v>-1.2999999999999999E-2</v>
      </c>
      <c r="R23" s="2">
        <v>-0.2414</v>
      </c>
    </row>
    <row r="24" spans="1:27" ht="19" x14ac:dyDescent="0.25">
      <c r="A24" s="5" t="s">
        <v>18</v>
      </c>
      <c r="B24" s="1">
        <v>12960</v>
      </c>
      <c r="C24" s="1">
        <v>3544388</v>
      </c>
      <c r="D24" s="1">
        <v>4919992</v>
      </c>
      <c r="E24" s="1">
        <v>7453744</v>
      </c>
      <c r="F24" s="1">
        <v>-322356</v>
      </c>
      <c r="G24" s="1" t="s">
        <v>91</v>
      </c>
      <c r="H24" s="1">
        <v>66000</v>
      </c>
      <c r="I24" s="1">
        <v>74400</v>
      </c>
      <c r="J24" s="1">
        <v>-497203</v>
      </c>
      <c r="K24" s="1">
        <v>-322344</v>
      </c>
      <c r="L24" s="1">
        <v>6095</v>
      </c>
      <c r="M24" s="1">
        <v>-160616</v>
      </c>
      <c r="N24" s="1">
        <v>-377048</v>
      </c>
      <c r="O24" s="1">
        <v>12431458</v>
      </c>
      <c r="P24" s="1">
        <v>1478937</v>
      </c>
      <c r="Q24" s="1">
        <v>-276259</v>
      </c>
      <c r="R24" s="1">
        <v>5137000</v>
      </c>
    </row>
    <row r="25" spans="1:27" ht="19" x14ac:dyDescent="0.25">
      <c r="A25" s="6" t="s">
        <v>19</v>
      </c>
      <c r="B25" s="10">
        <v>-12960</v>
      </c>
      <c r="C25" s="10">
        <v>-3725841</v>
      </c>
      <c r="D25" s="10">
        <v>-5261600</v>
      </c>
      <c r="E25" s="10">
        <v>-7759029</v>
      </c>
      <c r="F25" s="10">
        <v>-19497402</v>
      </c>
      <c r="G25" s="10" t="s">
        <v>91</v>
      </c>
      <c r="H25" s="10">
        <v>-2814902</v>
      </c>
      <c r="I25" s="10">
        <v>-1779369</v>
      </c>
      <c r="J25" s="10">
        <v>-2027136</v>
      </c>
      <c r="K25" s="10">
        <v>-2149804</v>
      </c>
      <c r="L25" s="10">
        <v>-3067615</v>
      </c>
      <c r="M25" s="10">
        <v>-8240583</v>
      </c>
      <c r="N25" s="10">
        <v>-11206648</v>
      </c>
      <c r="O25" s="10">
        <v>9971260</v>
      </c>
      <c r="P25" s="10">
        <v>8640026</v>
      </c>
      <c r="Q25" s="10">
        <v>-4058447</v>
      </c>
      <c r="R25" s="10">
        <v>-152664000</v>
      </c>
    </row>
    <row r="26" spans="1:27" ht="19" x14ac:dyDescent="0.25">
      <c r="A26" s="5" t="s">
        <v>20</v>
      </c>
      <c r="B26" s="2" t="s">
        <v>93</v>
      </c>
      <c r="C26" s="2">
        <v>-2.2652999999999999</v>
      </c>
      <c r="D26" s="2">
        <v>-2.0316000000000001</v>
      </c>
      <c r="E26" s="2">
        <v>-1.3223</v>
      </c>
      <c r="F26" s="2">
        <v>-2.3454000000000002</v>
      </c>
      <c r="G26" s="2" t="s">
        <v>91</v>
      </c>
      <c r="H26" s="2">
        <v>-0.36630000000000001</v>
      </c>
      <c r="I26" s="2">
        <v>-0.16769999999999999</v>
      </c>
      <c r="J26" s="2">
        <v>-0.13869999999999999</v>
      </c>
      <c r="K26" s="2">
        <v>-0.1249</v>
      </c>
      <c r="L26" s="2">
        <v>-0.1348</v>
      </c>
      <c r="M26" s="2">
        <v>-0.22789999999999999</v>
      </c>
      <c r="N26" s="2">
        <v>-0.21299999999999999</v>
      </c>
      <c r="O26" s="2">
        <v>0.13270000000000001</v>
      </c>
      <c r="P26" s="2">
        <v>6.6100000000000006E-2</v>
      </c>
      <c r="Q26" s="2">
        <v>-1.29E-2</v>
      </c>
      <c r="R26" s="2">
        <v>-0.2336</v>
      </c>
    </row>
    <row r="27" spans="1:27" ht="19" x14ac:dyDescent="0.25">
      <c r="A27" s="5" t="s">
        <v>21</v>
      </c>
      <c r="B27" s="1">
        <v>12960</v>
      </c>
      <c r="C27" s="1">
        <v>3725841</v>
      </c>
      <c r="D27" s="1">
        <v>5261600</v>
      </c>
      <c r="E27" s="1">
        <v>7759029</v>
      </c>
      <c r="F27" s="1" t="s">
        <v>91</v>
      </c>
      <c r="G27" s="1" t="s">
        <v>91</v>
      </c>
      <c r="H27" s="1" t="s">
        <v>91</v>
      </c>
      <c r="I27" s="1" t="s">
        <v>91</v>
      </c>
      <c r="J27" s="1" t="s">
        <v>91</v>
      </c>
      <c r="K27" s="1" t="s">
        <v>91</v>
      </c>
      <c r="L27" s="1" t="s">
        <v>91</v>
      </c>
      <c r="M27" s="1" t="s">
        <v>91</v>
      </c>
      <c r="N27" s="1" t="s">
        <v>91</v>
      </c>
      <c r="O27" s="1" t="s">
        <v>91</v>
      </c>
      <c r="P27" s="1">
        <v>116177</v>
      </c>
      <c r="Q27" s="1">
        <v>-7995720</v>
      </c>
      <c r="R27" s="1">
        <v>34618000</v>
      </c>
    </row>
    <row r="28" spans="1:27" ht="20" thickBot="1" x14ac:dyDescent="0.3">
      <c r="A28" s="7" t="s">
        <v>22</v>
      </c>
      <c r="B28" s="11">
        <v>-12960</v>
      </c>
      <c r="C28" s="11">
        <v>-3725841</v>
      </c>
      <c r="D28" s="11">
        <v>-5261600</v>
      </c>
      <c r="E28" s="11">
        <v>-7759029</v>
      </c>
      <c r="F28" s="11">
        <v>-19497402</v>
      </c>
      <c r="G28" s="11" t="s">
        <v>91</v>
      </c>
      <c r="H28" s="11">
        <v>-2814902</v>
      </c>
      <c r="I28" s="11">
        <v>-1779369</v>
      </c>
      <c r="J28" s="11">
        <v>-2027136</v>
      </c>
      <c r="K28" s="11">
        <v>-2149804</v>
      </c>
      <c r="L28" s="11">
        <v>-3067615</v>
      </c>
      <c r="M28" s="11">
        <v>-8240583</v>
      </c>
      <c r="N28" s="11">
        <v>-11206648</v>
      </c>
      <c r="O28" s="11">
        <v>9971260</v>
      </c>
      <c r="P28" s="11">
        <v>8523849</v>
      </c>
      <c r="Q28" s="11">
        <v>3937273</v>
      </c>
      <c r="R28" s="11">
        <v>-187282000</v>
      </c>
      <c r="S28" s="44">
        <v>98272000</v>
      </c>
      <c r="T28" s="44">
        <v>148400000</v>
      </c>
      <c r="U28" s="44">
        <v>209300000</v>
      </c>
      <c r="V28" s="44">
        <v>175800000</v>
      </c>
      <c r="W28" s="44">
        <v>197500000</v>
      </c>
    </row>
    <row r="29" spans="1:27" ht="20" customHeight="1" thickTop="1" x14ac:dyDescent="0.25">
      <c r="A29" s="14" t="s">
        <v>102</v>
      </c>
      <c r="B29" s="1"/>
      <c r="C29" s="15">
        <f>(C28/B28)-1</f>
        <v>286.48773148148149</v>
      </c>
      <c r="D29" s="15">
        <f>(D28/C28)-1</f>
        <v>0.4121912341401579</v>
      </c>
      <c r="E29" s="15">
        <f>(E28/D28)-1</f>
        <v>0.47465200699407029</v>
      </c>
      <c r="F29" s="15">
        <f t="shared" ref="F29" si="29">(F28/E28)-1</f>
        <v>1.5128662362262082</v>
      </c>
      <c r="G29" s="15" t="e">
        <f t="shared" ref="G29" si="30">(G28/F28)-1</f>
        <v>#VALUE!</v>
      </c>
      <c r="H29" s="15" t="e">
        <f t="shared" ref="H29" si="31">(H28/G28)-1</f>
        <v>#VALUE!</v>
      </c>
      <c r="I29" s="15">
        <f t="shared" ref="I29" si="32">(I28/H28)-1</f>
        <v>-0.36787532922993416</v>
      </c>
      <c r="J29" s="15">
        <f t="shared" ref="J29" si="33">(J28/I28)-1</f>
        <v>0.139244305144127</v>
      </c>
      <c r="K29" s="15">
        <f t="shared" ref="K29" si="34">(K28/J28)-1</f>
        <v>6.0512960156595241E-2</v>
      </c>
      <c r="L29" s="15">
        <f t="shared" ref="L29" si="35">(L28/K28)-1</f>
        <v>0.42692775713506914</v>
      </c>
      <c r="M29" s="15">
        <f t="shared" ref="M29" si="36">(M28/L28)-1</f>
        <v>1.6863159164367105</v>
      </c>
      <c r="N29" s="15">
        <f t="shared" ref="N29" si="37">(N28/M28)-1</f>
        <v>0.35993387846466685</v>
      </c>
      <c r="O29" s="15">
        <f t="shared" ref="O29" si="38">(O28/N28)-1</f>
        <v>-1.8897629335730006</v>
      </c>
      <c r="P29" s="15">
        <f t="shared" ref="P29" si="39">(P28/O28)-1</f>
        <v>-0.14515828491083371</v>
      </c>
      <c r="Q29" s="15">
        <f t="shared" ref="Q29" si="40">(Q28/P28)-1</f>
        <v>-0.53808742975151247</v>
      </c>
      <c r="R29" s="15">
        <f t="shared" ref="R29:W29" si="41">(R28/Q28)-1</f>
        <v>-48.566424781822342</v>
      </c>
      <c r="S29" s="16">
        <f t="shared" si="41"/>
        <v>-1.5247274164094788</v>
      </c>
      <c r="T29" s="16">
        <f t="shared" si="41"/>
        <v>0.51009443178117886</v>
      </c>
      <c r="U29" s="16">
        <f t="shared" si="41"/>
        <v>0.41037735849056611</v>
      </c>
      <c r="V29" s="16">
        <f t="shared" si="41"/>
        <v>-0.16005733397037747</v>
      </c>
      <c r="W29" s="16">
        <f t="shared" si="41"/>
        <v>0.12343572241183165</v>
      </c>
      <c r="Z29" s="15"/>
      <c r="AA29" s="15"/>
    </row>
    <row r="30" spans="1:27" ht="19" x14ac:dyDescent="0.25">
      <c r="A30" s="5" t="s">
        <v>23</v>
      </c>
      <c r="B30" s="2" t="s">
        <v>93</v>
      </c>
      <c r="C30" s="2">
        <v>-2.2652999999999999</v>
      </c>
      <c r="D30" s="2">
        <v>-2.0316000000000001</v>
      </c>
      <c r="E30" s="2">
        <v>-1.3223</v>
      </c>
      <c r="F30" s="2">
        <v>-2.3454000000000002</v>
      </c>
      <c r="G30" s="2" t="s">
        <v>91</v>
      </c>
      <c r="H30" s="2">
        <v>-0.36630000000000001</v>
      </c>
      <c r="I30" s="2">
        <v>-0.16769999999999999</v>
      </c>
      <c r="J30" s="2">
        <v>-0.13869999999999999</v>
      </c>
      <c r="K30" s="2">
        <v>-0.1249</v>
      </c>
      <c r="L30" s="2">
        <v>-0.1348</v>
      </c>
      <c r="M30" s="2">
        <v>-0.22789999999999999</v>
      </c>
      <c r="N30" s="2">
        <v>-0.21299999999999999</v>
      </c>
      <c r="O30" s="2">
        <v>0.13270000000000001</v>
      </c>
      <c r="P30" s="2">
        <v>6.5199999999999994E-2</v>
      </c>
      <c r="Q30" s="2">
        <v>1.2500000000000001E-2</v>
      </c>
      <c r="R30" s="2">
        <v>-0.28649999999999998</v>
      </c>
      <c r="S30" s="45">
        <f>S28/S3</f>
        <v>8.7978513876454792E-2</v>
      </c>
      <c r="T30" s="45">
        <f t="shared" ref="T30:W30" si="42">T28/T3</f>
        <v>9.6301103179753406E-2</v>
      </c>
      <c r="U30" s="45">
        <f t="shared" si="42"/>
        <v>0.10522875816993464</v>
      </c>
      <c r="V30" s="45">
        <f t="shared" si="42"/>
        <v>8.8967611336032384E-2</v>
      </c>
      <c r="W30" s="45">
        <f t="shared" si="42"/>
        <v>8.9609800362976402E-2</v>
      </c>
    </row>
    <row r="31" spans="1:27" ht="19" x14ac:dyDescent="0.25">
      <c r="A31" s="5" t="s">
        <v>24</v>
      </c>
      <c r="B31" s="12">
        <v>-0.09</v>
      </c>
      <c r="C31" s="12">
        <v>-0.74</v>
      </c>
      <c r="D31" s="12">
        <v>-0.82</v>
      </c>
      <c r="E31" s="12">
        <v>-1.02</v>
      </c>
      <c r="F31" s="12">
        <v>-1.1100000000000001</v>
      </c>
      <c r="G31" s="12" t="s">
        <v>91</v>
      </c>
      <c r="H31" s="12">
        <v>-0.14000000000000001</v>
      </c>
      <c r="I31" s="12">
        <v>-0.09</v>
      </c>
      <c r="J31" s="12">
        <v>-0.1</v>
      </c>
      <c r="K31" s="12">
        <v>-0.06</v>
      </c>
      <c r="L31" s="12">
        <v>-0.08</v>
      </c>
      <c r="M31" s="12">
        <v>-0.19</v>
      </c>
      <c r="N31" s="12">
        <v>-0.22</v>
      </c>
      <c r="O31" s="12">
        <v>0.16</v>
      </c>
      <c r="P31" s="12">
        <v>0.12</v>
      </c>
      <c r="Q31" s="12">
        <v>0.05</v>
      </c>
      <c r="R31" s="12">
        <v>-2.48</v>
      </c>
      <c r="S31" s="46">
        <v>1.28</v>
      </c>
      <c r="T31" s="46">
        <v>1.93</v>
      </c>
      <c r="U31" s="46">
        <v>2.73</v>
      </c>
      <c r="V31" s="46">
        <v>2.29</v>
      </c>
      <c r="W31" s="46">
        <v>2.57</v>
      </c>
    </row>
    <row r="32" spans="1:27" ht="19" x14ac:dyDescent="0.25">
      <c r="A32" s="5" t="s">
        <v>25</v>
      </c>
      <c r="B32" s="12">
        <v>-0.09</v>
      </c>
      <c r="C32" s="12">
        <v>-0.74</v>
      </c>
      <c r="D32" s="12">
        <v>-0.82</v>
      </c>
      <c r="E32" s="12">
        <v>-1.02</v>
      </c>
      <c r="F32" s="12">
        <v>-1.1100000000000001</v>
      </c>
      <c r="G32" s="12" t="s">
        <v>91</v>
      </c>
      <c r="H32" s="12">
        <v>-0.14000000000000001</v>
      </c>
      <c r="I32" s="12">
        <v>-0.09</v>
      </c>
      <c r="J32" s="12">
        <v>-0.1</v>
      </c>
      <c r="K32" s="12">
        <v>-0.06</v>
      </c>
      <c r="L32" s="12">
        <v>-0.08</v>
      </c>
      <c r="M32" s="12">
        <v>-0.19</v>
      </c>
      <c r="N32" s="12">
        <v>-0.22</v>
      </c>
      <c r="O32" s="12">
        <v>0.16</v>
      </c>
      <c r="P32" s="12">
        <v>0.11</v>
      </c>
      <c r="Q32" s="12">
        <v>0.05</v>
      </c>
      <c r="R32" s="12">
        <v>-2.48</v>
      </c>
    </row>
    <row r="33" spans="1:18" ht="19" x14ac:dyDescent="0.25">
      <c r="A33" s="5" t="s">
        <v>26</v>
      </c>
      <c r="B33" s="1">
        <v>140684</v>
      </c>
      <c r="C33" s="1">
        <v>5034431</v>
      </c>
      <c r="D33" s="1">
        <v>6435182</v>
      </c>
      <c r="E33" s="1">
        <v>7627383</v>
      </c>
      <c r="F33" s="1">
        <v>17525352</v>
      </c>
      <c r="G33" s="1" t="s">
        <v>91</v>
      </c>
      <c r="H33" s="1">
        <v>20182207</v>
      </c>
      <c r="I33" s="1">
        <v>20179032</v>
      </c>
      <c r="J33" s="1">
        <v>20392594</v>
      </c>
      <c r="K33" s="1">
        <v>33175826</v>
      </c>
      <c r="L33" s="1">
        <v>38568088</v>
      </c>
      <c r="M33" s="1">
        <v>44419162</v>
      </c>
      <c r="N33" s="1">
        <v>50050696</v>
      </c>
      <c r="O33" s="1">
        <v>60761995</v>
      </c>
      <c r="P33" s="1">
        <v>70195085</v>
      </c>
      <c r="Q33" s="1">
        <v>73781130</v>
      </c>
      <c r="R33" s="1">
        <v>75649000</v>
      </c>
    </row>
    <row r="34" spans="1:18" ht="19" x14ac:dyDescent="0.25">
      <c r="A34" s="5" t="s">
        <v>27</v>
      </c>
      <c r="B34" s="1">
        <v>140684</v>
      </c>
      <c r="C34" s="1">
        <v>5034431</v>
      </c>
      <c r="D34" s="1">
        <v>6435182</v>
      </c>
      <c r="E34" s="1">
        <v>7627383</v>
      </c>
      <c r="F34" s="1">
        <v>17525352</v>
      </c>
      <c r="G34" s="1" t="s">
        <v>91</v>
      </c>
      <c r="H34" s="1">
        <v>20182207</v>
      </c>
      <c r="I34" s="1">
        <v>20179032</v>
      </c>
      <c r="J34" s="1">
        <v>20392594</v>
      </c>
      <c r="K34" s="1">
        <v>33175826</v>
      </c>
      <c r="L34" s="1">
        <v>38568088</v>
      </c>
      <c r="M34" s="1">
        <v>44419162</v>
      </c>
      <c r="N34" s="1">
        <v>50050696</v>
      </c>
      <c r="O34" s="1">
        <v>64183399</v>
      </c>
      <c r="P34" s="1">
        <v>74443601</v>
      </c>
      <c r="Q34" s="1">
        <v>77688501</v>
      </c>
      <c r="R34" s="1">
        <v>75649000</v>
      </c>
    </row>
    <row r="35" spans="1:18" ht="20" customHeight="1" x14ac:dyDescent="0.25">
      <c r="A35" s="14" t="s">
        <v>103</v>
      </c>
      <c r="B35" s="1"/>
      <c r="C35" s="23">
        <f>(C34-B34)/B34</f>
        <v>34.785384265445963</v>
      </c>
      <c r="D35" s="23">
        <f t="shared" ref="D35:F35" si="43">(D34-C34)/C34</f>
        <v>0.27823422349020177</v>
      </c>
      <c r="E35" s="23">
        <f t="shared" si="43"/>
        <v>0.18526298090714452</v>
      </c>
      <c r="F35" s="23">
        <f t="shared" si="43"/>
        <v>1.297688735441763</v>
      </c>
      <c r="G35" s="23" t="e">
        <f t="shared" ref="G35" si="44">(G34-F34)/F34</f>
        <v>#VALUE!</v>
      </c>
      <c r="H35" s="23" t="e">
        <f t="shared" ref="H35" si="45">(H34-G34)/G34</f>
        <v>#VALUE!</v>
      </c>
      <c r="I35" s="23">
        <f t="shared" ref="I35" si="46">(I34-H34)/H34</f>
        <v>-1.5731678899141209E-4</v>
      </c>
      <c r="J35" s="23">
        <f t="shared" ref="J35" si="47">(J34-I34)/I34</f>
        <v>1.0583361976927337E-2</v>
      </c>
      <c r="K35" s="23">
        <f t="shared" ref="K35" si="48">(K34-J34)/J34</f>
        <v>0.62685659313376219</v>
      </c>
      <c r="L35" s="23">
        <f t="shared" ref="L35" si="49">(L34-K34)/K34</f>
        <v>0.16253587778040554</v>
      </c>
      <c r="M35" s="23">
        <f t="shared" ref="M35" si="50">(M34-L34)/L34</f>
        <v>0.15170765011737164</v>
      </c>
      <c r="N35" s="23">
        <f t="shared" ref="N35" si="51">(N34-M34)/M34</f>
        <v>0.12678163536718681</v>
      </c>
      <c r="O35" s="23">
        <f t="shared" ref="O35" si="52">(O34-N34)/N34</f>
        <v>0.28236776167907834</v>
      </c>
      <c r="P35" s="23">
        <f t="shared" ref="P35" si="53">(P34-O34)/O34</f>
        <v>0.15985756690760489</v>
      </c>
      <c r="Q35" s="23">
        <f t="shared" ref="Q35" si="54">(Q34-P34)/P34</f>
        <v>4.3588702808720924E-2</v>
      </c>
      <c r="R35" s="23">
        <f t="shared" ref="R35" si="55">(R34-Q34)/Q34</f>
        <v>-2.6252289254493404E-2</v>
      </c>
    </row>
    <row r="36" spans="1:1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row>
    <row r="37" spans="1:1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row>
    <row r="38" spans="1:18" ht="19" x14ac:dyDescent="0.25">
      <c r="A38" s="5" t="s">
        <v>30</v>
      </c>
      <c r="B38" s="1">
        <v>95422</v>
      </c>
      <c r="C38" s="1">
        <v>257482</v>
      </c>
      <c r="D38" s="1">
        <v>1040633</v>
      </c>
      <c r="E38" s="1">
        <v>606737</v>
      </c>
      <c r="F38" s="1">
        <v>1320665</v>
      </c>
      <c r="G38" s="1" t="s">
        <v>91</v>
      </c>
      <c r="H38" s="1">
        <v>108981</v>
      </c>
      <c r="I38" s="1">
        <v>221906</v>
      </c>
      <c r="J38" s="1">
        <v>349072</v>
      </c>
      <c r="K38" s="1">
        <v>10128320</v>
      </c>
      <c r="L38" s="1">
        <v>11747138</v>
      </c>
      <c r="M38" s="1">
        <v>14186624</v>
      </c>
      <c r="N38" s="1">
        <v>7743181</v>
      </c>
      <c r="O38" s="1">
        <v>23090682</v>
      </c>
      <c r="P38" s="1">
        <v>43248021</v>
      </c>
      <c r="Q38" s="1">
        <v>16254708</v>
      </c>
      <c r="R38" s="1">
        <v>614159000</v>
      </c>
    </row>
    <row r="39" spans="1:1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row>
    <row r="40" spans="1:18" ht="19" x14ac:dyDescent="0.25">
      <c r="A40" s="5" t="s">
        <v>32</v>
      </c>
      <c r="B40" s="1">
        <v>95422</v>
      </c>
      <c r="C40" s="1">
        <v>257482</v>
      </c>
      <c r="D40" s="1">
        <v>1040633</v>
      </c>
      <c r="E40" s="1">
        <v>606737</v>
      </c>
      <c r="F40" s="1">
        <v>1320665</v>
      </c>
      <c r="G40" s="1" t="s">
        <v>91</v>
      </c>
      <c r="H40" s="1">
        <v>108981</v>
      </c>
      <c r="I40" s="1">
        <v>221906</v>
      </c>
      <c r="J40" s="1">
        <v>349072</v>
      </c>
      <c r="K40" s="1">
        <v>10128320</v>
      </c>
      <c r="L40" s="1">
        <v>11747138</v>
      </c>
      <c r="M40" s="1">
        <v>14186624</v>
      </c>
      <c r="N40" s="1">
        <v>7743181</v>
      </c>
      <c r="O40" s="1">
        <v>23090682</v>
      </c>
      <c r="P40" s="1">
        <v>43248021</v>
      </c>
      <c r="Q40" s="1">
        <v>16254708</v>
      </c>
      <c r="R40" s="1">
        <v>614159000</v>
      </c>
    </row>
    <row r="41" spans="1:18" ht="19" x14ac:dyDescent="0.25">
      <c r="A41" s="5" t="s">
        <v>33</v>
      </c>
      <c r="B41" s="1" t="s">
        <v>91</v>
      </c>
      <c r="C41" s="1">
        <v>276877</v>
      </c>
      <c r="D41" s="1">
        <v>192779</v>
      </c>
      <c r="E41" s="1">
        <v>2124788</v>
      </c>
      <c r="F41" s="1">
        <v>1192139</v>
      </c>
      <c r="G41" s="1" t="s">
        <v>91</v>
      </c>
      <c r="H41" s="1">
        <v>620325</v>
      </c>
      <c r="I41" s="1">
        <v>1491550</v>
      </c>
      <c r="J41" s="1">
        <v>2612191</v>
      </c>
      <c r="K41" s="1">
        <v>2127060</v>
      </c>
      <c r="L41" s="1">
        <v>2787732</v>
      </c>
      <c r="M41" s="1">
        <v>6375658</v>
      </c>
      <c r="N41" s="1">
        <v>12980396</v>
      </c>
      <c r="O41" s="1">
        <v>8955734</v>
      </c>
      <c r="P41" s="1">
        <v>16872100</v>
      </c>
      <c r="Q41" s="1">
        <v>41328954</v>
      </c>
      <c r="R41" s="1">
        <v>66290000</v>
      </c>
    </row>
    <row r="42" spans="1:18" ht="19" x14ac:dyDescent="0.25">
      <c r="A42" s="5" t="s">
        <v>34</v>
      </c>
      <c r="B42" s="1" t="s">
        <v>91</v>
      </c>
      <c r="C42" s="1">
        <v>578774</v>
      </c>
      <c r="D42" s="1">
        <v>505009</v>
      </c>
      <c r="E42" s="1">
        <v>1650337</v>
      </c>
      <c r="F42" s="1">
        <v>1563753</v>
      </c>
      <c r="G42" s="1" t="s">
        <v>91</v>
      </c>
      <c r="H42" s="1">
        <v>921709</v>
      </c>
      <c r="I42" s="1">
        <v>821271</v>
      </c>
      <c r="J42" s="1">
        <v>1686935</v>
      </c>
      <c r="K42" s="1">
        <v>2322904</v>
      </c>
      <c r="L42" s="1">
        <v>2211370</v>
      </c>
      <c r="M42" s="1">
        <v>5305505</v>
      </c>
      <c r="N42" s="1">
        <v>11482701</v>
      </c>
      <c r="O42" s="1">
        <v>15292349</v>
      </c>
      <c r="P42" s="1">
        <v>18403622</v>
      </c>
      <c r="Q42" s="1">
        <v>191221851</v>
      </c>
      <c r="R42" s="1">
        <v>173289000</v>
      </c>
    </row>
    <row r="43" spans="1:18" ht="19" x14ac:dyDescent="0.25">
      <c r="A43" s="5" t="s">
        <v>35</v>
      </c>
      <c r="B43" s="1">
        <v>3000</v>
      </c>
      <c r="C43" s="1">
        <v>44960</v>
      </c>
      <c r="D43" s="1">
        <v>12155</v>
      </c>
      <c r="E43" s="1">
        <v>893202</v>
      </c>
      <c r="F43" s="1">
        <v>138310</v>
      </c>
      <c r="G43" s="1" t="s">
        <v>91</v>
      </c>
      <c r="H43" s="1">
        <v>295314</v>
      </c>
      <c r="I43" s="1">
        <v>426270</v>
      </c>
      <c r="J43" s="1">
        <v>259056</v>
      </c>
      <c r="K43" s="1">
        <v>666267</v>
      </c>
      <c r="L43" s="1">
        <v>937349</v>
      </c>
      <c r="M43" s="1">
        <v>1180444</v>
      </c>
      <c r="N43" s="1">
        <v>2299375</v>
      </c>
      <c r="O43" s="1">
        <v>4170136</v>
      </c>
      <c r="P43" s="1">
        <v>14626922</v>
      </c>
      <c r="Q43" s="1">
        <v>13555037</v>
      </c>
      <c r="R43" s="1">
        <v>64233000</v>
      </c>
    </row>
    <row r="44" spans="1:18" ht="19" x14ac:dyDescent="0.25">
      <c r="A44" s="6" t="s">
        <v>36</v>
      </c>
      <c r="B44" s="10">
        <v>98422</v>
      </c>
      <c r="C44" s="10">
        <v>1158093</v>
      </c>
      <c r="D44" s="10">
        <v>1750576</v>
      </c>
      <c r="E44" s="10">
        <v>5275064</v>
      </c>
      <c r="F44" s="10">
        <v>4214867</v>
      </c>
      <c r="G44" s="10" t="s">
        <v>91</v>
      </c>
      <c r="H44" s="10">
        <v>1946329</v>
      </c>
      <c r="I44" s="10">
        <v>2960997</v>
      </c>
      <c r="J44" s="10">
        <v>4907254</v>
      </c>
      <c r="K44" s="10">
        <v>15244551</v>
      </c>
      <c r="L44" s="10">
        <v>17683589</v>
      </c>
      <c r="M44" s="10">
        <v>27048231</v>
      </c>
      <c r="N44" s="10">
        <v>34505653</v>
      </c>
      <c r="O44" s="10">
        <v>51508901</v>
      </c>
      <c r="P44" s="10">
        <v>93150665</v>
      </c>
      <c r="Q44" s="10">
        <v>262360550</v>
      </c>
      <c r="R44" s="10">
        <v>917971000</v>
      </c>
    </row>
    <row r="45" spans="1:18" ht="19" x14ac:dyDescent="0.25">
      <c r="A45" s="5" t="s">
        <v>37</v>
      </c>
      <c r="B45" s="1" t="s">
        <v>91</v>
      </c>
      <c r="C45" s="1">
        <v>64697</v>
      </c>
      <c r="D45" s="1">
        <v>183353</v>
      </c>
      <c r="E45" s="1">
        <v>179832</v>
      </c>
      <c r="F45" s="1">
        <v>101895</v>
      </c>
      <c r="G45" s="1" t="s">
        <v>91</v>
      </c>
      <c r="H45" s="1">
        <v>104690</v>
      </c>
      <c r="I45" s="1">
        <v>68713</v>
      </c>
      <c r="J45" s="1">
        <v>43950</v>
      </c>
      <c r="K45" s="1">
        <v>21319</v>
      </c>
      <c r="L45" s="1">
        <v>33533</v>
      </c>
      <c r="M45" s="1">
        <v>62642</v>
      </c>
      <c r="N45" s="1">
        <v>121854</v>
      </c>
      <c r="O45" s="1">
        <v>942355</v>
      </c>
      <c r="P45" s="1">
        <v>1577534</v>
      </c>
      <c r="Q45" s="1">
        <v>4394162</v>
      </c>
      <c r="R45" s="1">
        <v>11365000</v>
      </c>
    </row>
    <row r="46" spans="1:1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v>10023806</v>
      </c>
      <c r="P46" s="1">
        <v>10419321</v>
      </c>
      <c r="Q46" s="1">
        <v>14526583</v>
      </c>
      <c r="R46" s="1">
        <v>13679000</v>
      </c>
    </row>
    <row r="47" spans="1:18" ht="19" x14ac:dyDescent="0.25">
      <c r="A47" s="5" t="s">
        <v>39</v>
      </c>
      <c r="B47" s="1" t="s">
        <v>91</v>
      </c>
      <c r="C47" s="1">
        <v>41500</v>
      </c>
      <c r="D47" s="1" t="s">
        <v>91</v>
      </c>
      <c r="E47" s="1" t="s">
        <v>91</v>
      </c>
      <c r="F47" s="1" t="s">
        <v>91</v>
      </c>
      <c r="G47" s="1" t="s">
        <v>91</v>
      </c>
      <c r="H47" s="1" t="s">
        <v>91</v>
      </c>
      <c r="I47" s="1" t="s">
        <v>91</v>
      </c>
      <c r="J47" s="1" t="s">
        <v>91</v>
      </c>
      <c r="K47" s="1" t="s">
        <v>91</v>
      </c>
      <c r="L47" s="1" t="s">
        <v>91</v>
      </c>
      <c r="M47" s="1" t="s">
        <v>91</v>
      </c>
      <c r="N47" s="1" t="s">
        <v>91</v>
      </c>
      <c r="O47" s="1">
        <v>17173000</v>
      </c>
      <c r="P47" s="1">
        <v>16590083</v>
      </c>
      <c r="Q47" s="1">
        <v>16301326</v>
      </c>
      <c r="R47" s="1">
        <v>12254000</v>
      </c>
    </row>
    <row r="48" spans="1:18" ht="19" x14ac:dyDescent="0.25">
      <c r="A48" s="5" t="s">
        <v>40</v>
      </c>
      <c r="B48" s="1" t="s">
        <v>91</v>
      </c>
      <c r="C48" s="1">
        <v>41500</v>
      </c>
      <c r="D48" s="1" t="s">
        <v>91</v>
      </c>
      <c r="E48" s="1" t="s">
        <v>91</v>
      </c>
      <c r="F48" s="1" t="s">
        <v>91</v>
      </c>
      <c r="G48" s="1" t="s">
        <v>91</v>
      </c>
      <c r="H48" s="1" t="s">
        <v>91</v>
      </c>
      <c r="I48" s="1" t="s">
        <v>91</v>
      </c>
      <c r="J48" s="1" t="s">
        <v>91</v>
      </c>
      <c r="K48" s="1" t="s">
        <v>91</v>
      </c>
      <c r="L48" s="1" t="s">
        <v>91</v>
      </c>
      <c r="M48" s="1" t="s">
        <v>91</v>
      </c>
      <c r="N48" s="1" t="s">
        <v>91</v>
      </c>
      <c r="O48" s="1">
        <v>27196806</v>
      </c>
      <c r="P48" s="1">
        <v>27009404</v>
      </c>
      <c r="Q48" s="1">
        <v>30827909</v>
      </c>
      <c r="R48" s="1">
        <v>25933000</v>
      </c>
    </row>
    <row r="49" spans="1:1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row>
    <row r="50" spans="1:1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9019241</v>
      </c>
      <c r="R50" s="1">
        <v>501000</v>
      </c>
    </row>
    <row r="51" spans="1:18" ht="19" x14ac:dyDescent="0.25">
      <c r="A51" s="5" t="s">
        <v>43</v>
      </c>
      <c r="B51" s="1" t="s">
        <v>91</v>
      </c>
      <c r="C51" s="1">
        <v>1268840</v>
      </c>
      <c r="D51" s="1">
        <v>268840</v>
      </c>
      <c r="E51" s="1">
        <v>18840</v>
      </c>
      <c r="F51" s="1" t="s">
        <v>91</v>
      </c>
      <c r="G51" s="1" t="s">
        <v>91</v>
      </c>
      <c r="H51" s="1" t="s">
        <v>91</v>
      </c>
      <c r="I51" s="1" t="s">
        <v>91</v>
      </c>
      <c r="J51" s="1" t="s">
        <v>91</v>
      </c>
      <c r="K51" s="1" t="s">
        <v>91</v>
      </c>
      <c r="L51" s="1" t="s">
        <v>91</v>
      </c>
      <c r="M51" s="1" t="s">
        <v>91</v>
      </c>
      <c r="N51" s="1" t="s">
        <v>91</v>
      </c>
      <c r="O51" s="1">
        <v>10734175</v>
      </c>
      <c r="P51" s="1">
        <v>9552170</v>
      </c>
      <c r="Q51" s="1">
        <v>7416566</v>
      </c>
      <c r="R51" s="1">
        <v>266299000</v>
      </c>
    </row>
    <row r="52" spans="1:18" ht="19" x14ac:dyDescent="0.25">
      <c r="A52" s="5" t="s">
        <v>44</v>
      </c>
      <c r="B52" s="1" t="s">
        <v>91</v>
      </c>
      <c r="C52" s="1">
        <v>1375037</v>
      </c>
      <c r="D52" s="1">
        <v>452193</v>
      </c>
      <c r="E52" s="1">
        <v>198672</v>
      </c>
      <c r="F52" s="1">
        <v>101895</v>
      </c>
      <c r="G52" s="1" t="s">
        <v>91</v>
      </c>
      <c r="H52" s="1">
        <v>104690</v>
      </c>
      <c r="I52" s="1">
        <v>68713</v>
      </c>
      <c r="J52" s="1">
        <v>43950</v>
      </c>
      <c r="K52" s="1">
        <v>21319</v>
      </c>
      <c r="L52" s="1">
        <v>33533</v>
      </c>
      <c r="M52" s="1">
        <v>62642</v>
      </c>
      <c r="N52" s="1">
        <v>121854</v>
      </c>
      <c r="O52" s="1">
        <v>38873336</v>
      </c>
      <c r="P52" s="1">
        <v>38139108</v>
      </c>
      <c r="Q52" s="1">
        <v>51657878</v>
      </c>
      <c r="R52" s="1">
        <v>304098000</v>
      </c>
    </row>
    <row r="53" spans="1:1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row>
    <row r="54" spans="1:18" ht="20" thickBot="1" x14ac:dyDescent="0.3">
      <c r="A54" s="7" t="s">
        <v>46</v>
      </c>
      <c r="B54" s="11">
        <v>98422</v>
      </c>
      <c r="C54" s="11">
        <v>2533130</v>
      </c>
      <c r="D54" s="11">
        <v>2202769</v>
      </c>
      <c r="E54" s="11">
        <v>5473736</v>
      </c>
      <c r="F54" s="11">
        <v>4316762</v>
      </c>
      <c r="G54" s="11" t="s">
        <v>91</v>
      </c>
      <c r="H54" s="11">
        <v>2051019</v>
      </c>
      <c r="I54" s="11">
        <v>3029710</v>
      </c>
      <c r="J54" s="11">
        <v>4951204</v>
      </c>
      <c r="K54" s="11">
        <v>15265870</v>
      </c>
      <c r="L54" s="11">
        <v>17717122</v>
      </c>
      <c r="M54" s="11">
        <v>27110873</v>
      </c>
      <c r="N54" s="11">
        <v>34627507</v>
      </c>
      <c r="O54" s="11">
        <v>90382236</v>
      </c>
      <c r="P54" s="11">
        <v>131289773</v>
      </c>
      <c r="Q54" s="11">
        <v>314018428</v>
      </c>
      <c r="R54" s="11">
        <v>1222069000</v>
      </c>
    </row>
    <row r="55" spans="1:18" ht="20" thickTop="1" x14ac:dyDescent="0.25">
      <c r="A55" s="5" t="s">
        <v>47</v>
      </c>
      <c r="B55" s="1">
        <v>1400</v>
      </c>
      <c r="C55" s="1">
        <v>466047</v>
      </c>
      <c r="D55" s="1">
        <v>411185</v>
      </c>
      <c r="E55" s="1">
        <v>1112424</v>
      </c>
      <c r="F55" s="1">
        <v>1932194</v>
      </c>
      <c r="G55" s="1" t="s">
        <v>91</v>
      </c>
      <c r="H55" s="1">
        <v>515575</v>
      </c>
      <c r="I55" s="1">
        <v>840057</v>
      </c>
      <c r="J55" s="1">
        <v>360062</v>
      </c>
      <c r="K55" s="1">
        <v>1207353</v>
      </c>
      <c r="L55" s="1">
        <v>858131</v>
      </c>
      <c r="M55" s="1">
        <v>3003086</v>
      </c>
      <c r="N55" s="1">
        <v>5825446</v>
      </c>
      <c r="O55" s="1">
        <v>10159900</v>
      </c>
      <c r="P55" s="1">
        <v>11854421</v>
      </c>
      <c r="Q55" s="1">
        <v>35820120</v>
      </c>
      <c r="R55" s="1">
        <v>107340000</v>
      </c>
    </row>
    <row r="56" spans="1:18" ht="19" x14ac:dyDescent="0.25">
      <c r="A56" s="5" t="s">
        <v>48</v>
      </c>
      <c r="B56" s="1" t="s">
        <v>91</v>
      </c>
      <c r="C56" s="1">
        <v>749999</v>
      </c>
      <c r="D56" s="1">
        <v>95000</v>
      </c>
      <c r="E56" s="1">
        <v>1133074</v>
      </c>
      <c r="F56" s="1" t="s">
        <v>91</v>
      </c>
      <c r="G56" s="1" t="s">
        <v>91</v>
      </c>
      <c r="H56" s="1" t="s">
        <v>91</v>
      </c>
      <c r="I56" s="1" t="s">
        <v>91</v>
      </c>
      <c r="J56" s="1" t="s">
        <v>91</v>
      </c>
      <c r="K56" s="1" t="s">
        <v>91</v>
      </c>
      <c r="L56" s="1" t="s">
        <v>91</v>
      </c>
      <c r="M56" s="1" t="s">
        <v>91</v>
      </c>
      <c r="N56" s="1" t="s">
        <v>91</v>
      </c>
      <c r="O56" s="1">
        <v>9283353</v>
      </c>
      <c r="P56" s="1">
        <v>527107</v>
      </c>
      <c r="Q56" s="1">
        <v>668810</v>
      </c>
      <c r="R56" s="1">
        <v>731000</v>
      </c>
    </row>
    <row r="57" spans="1:1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row>
    <row r="58" spans="1:18" ht="19" x14ac:dyDescent="0.25">
      <c r="A58" s="5" t="s">
        <v>50</v>
      </c>
      <c r="B58" s="1" t="s">
        <v>91</v>
      </c>
      <c r="C58" s="1" t="s">
        <v>91</v>
      </c>
      <c r="D58" s="1" t="s">
        <v>91</v>
      </c>
      <c r="E58" s="1" t="s">
        <v>91</v>
      </c>
      <c r="F58" s="1" t="s">
        <v>91</v>
      </c>
      <c r="G58" s="1" t="s">
        <v>91</v>
      </c>
      <c r="H58" s="1">
        <v>66883</v>
      </c>
      <c r="I58" s="1">
        <v>383560</v>
      </c>
      <c r="J58" s="1">
        <v>351716</v>
      </c>
      <c r="K58" s="1">
        <v>13063</v>
      </c>
      <c r="L58" s="1">
        <v>201652</v>
      </c>
      <c r="M58" s="1" t="s">
        <v>91</v>
      </c>
      <c r="N58" s="1" t="s">
        <v>91</v>
      </c>
      <c r="O58" s="1" t="s">
        <v>91</v>
      </c>
      <c r="P58" s="1" t="s">
        <v>91</v>
      </c>
      <c r="Q58" s="1">
        <v>5438316</v>
      </c>
      <c r="R58" s="1">
        <v>9675000</v>
      </c>
    </row>
    <row r="59" spans="1:18" ht="19" x14ac:dyDescent="0.25">
      <c r="A59" s="5" t="s">
        <v>51</v>
      </c>
      <c r="B59" s="1" t="s">
        <v>91</v>
      </c>
      <c r="C59" s="1">
        <v>1592686</v>
      </c>
      <c r="D59" s="1">
        <v>347352</v>
      </c>
      <c r="E59" s="1">
        <v>609607</v>
      </c>
      <c r="F59" s="1">
        <v>902854</v>
      </c>
      <c r="G59" s="1" t="s">
        <v>91</v>
      </c>
      <c r="H59" s="1">
        <v>452739</v>
      </c>
      <c r="I59" s="1">
        <v>111998</v>
      </c>
      <c r="J59" s="1">
        <v>653276</v>
      </c>
      <c r="K59" s="1">
        <v>801419</v>
      </c>
      <c r="L59" s="1">
        <v>1262702</v>
      </c>
      <c r="M59" s="1">
        <v>3460542</v>
      </c>
      <c r="N59" s="1">
        <v>9039698</v>
      </c>
      <c r="O59" s="1">
        <v>7240146</v>
      </c>
      <c r="P59" s="1">
        <v>13983564</v>
      </c>
      <c r="Q59" s="1">
        <v>51196248</v>
      </c>
      <c r="R59" s="1">
        <v>43549000</v>
      </c>
    </row>
    <row r="60" spans="1:18" ht="19" x14ac:dyDescent="0.25">
      <c r="A60" s="6" t="s">
        <v>52</v>
      </c>
      <c r="B60" s="10">
        <v>1400</v>
      </c>
      <c r="C60" s="10">
        <v>2808732</v>
      </c>
      <c r="D60" s="10">
        <v>853537</v>
      </c>
      <c r="E60" s="10">
        <v>2855105</v>
      </c>
      <c r="F60" s="10">
        <v>2835048</v>
      </c>
      <c r="G60" s="10" t="s">
        <v>91</v>
      </c>
      <c r="H60" s="10">
        <v>1035197</v>
      </c>
      <c r="I60" s="10">
        <v>1335615</v>
      </c>
      <c r="J60" s="10">
        <v>1365054</v>
      </c>
      <c r="K60" s="10">
        <v>2021835</v>
      </c>
      <c r="L60" s="10">
        <v>2322485</v>
      </c>
      <c r="M60" s="10">
        <v>6463628</v>
      </c>
      <c r="N60" s="10">
        <v>14865144</v>
      </c>
      <c r="O60" s="10">
        <v>26683399</v>
      </c>
      <c r="P60" s="10">
        <v>26365092</v>
      </c>
      <c r="Q60" s="10">
        <v>93123494</v>
      </c>
      <c r="R60" s="10">
        <v>161295000</v>
      </c>
    </row>
    <row r="61" spans="1:18" ht="19" x14ac:dyDescent="0.25">
      <c r="A61" s="5" t="s">
        <v>53</v>
      </c>
      <c r="B61" s="1" t="s">
        <v>91</v>
      </c>
      <c r="C61" s="1">
        <v>1314914</v>
      </c>
      <c r="D61" s="1">
        <v>562570</v>
      </c>
      <c r="E61" s="1">
        <v>5715605</v>
      </c>
      <c r="F61" s="1">
        <v>2000000</v>
      </c>
      <c r="G61" s="1" t="s">
        <v>91</v>
      </c>
      <c r="H61" s="1">
        <v>7450000</v>
      </c>
      <c r="I61" s="1">
        <v>7600000</v>
      </c>
      <c r="J61" s="1">
        <v>10750000</v>
      </c>
      <c r="K61" s="1">
        <v>4500000</v>
      </c>
      <c r="L61" s="1">
        <v>4500000</v>
      </c>
      <c r="M61" s="1">
        <v>3500000</v>
      </c>
      <c r="N61" s="1">
        <v>7959381</v>
      </c>
      <c r="O61" s="1">
        <v>239848</v>
      </c>
      <c r="P61" s="1">
        <v>597238</v>
      </c>
      <c r="Q61" s="1">
        <v>703343</v>
      </c>
      <c r="R61" s="1">
        <v>703343</v>
      </c>
    </row>
    <row r="62" spans="1:1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v>179788000</v>
      </c>
    </row>
    <row r="63" spans="1:1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v>3146394</v>
      </c>
      <c r="R63" s="1">
        <v>15919000</v>
      </c>
    </row>
    <row r="64" spans="1:18" ht="19" x14ac:dyDescent="0.25">
      <c r="A64" s="5" t="s">
        <v>55</v>
      </c>
      <c r="B64" s="1" t="s">
        <v>91</v>
      </c>
      <c r="C64" s="1">
        <v>14236</v>
      </c>
      <c r="D64" s="1">
        <v>775435</v>
      </c>
      <c r="E64" s="1">
        <v>55183</v>
      </c>
      <c r="F64" s="1">
        <v>2000000</v>
      </c>
      <c r="G64" s="1" t="s">
        <v>91</v>
      </c>
      <c r="H64" s="1" t="s">
        <v>91</v>
      </c>
      <c r="I64" s="1" t="s">
        <v>91</v>
      </c>
      <c r="J64" s="1" t="s">
        <v>91</v>
      </c>
      <c r="K64" s="1" t="s">
        <v>91</v>
      </c>
      <c r="L64" s="1" t="s">
        <v>91</v>
      </c>
      <c r="M64" s="1" t="s">
        <v>91</v>
      </c>
      <c r="N64" s="1" t="s">
        <v>91</v>
      </c>
      <c r="O64" s="1" t="s">
        <v>91</v>
      </c>
      <c r="P64" s="1" t="s">
        <v>91</v>
      </c>
      <c r="Q64" s="1" t="s">
        <v>91</v>
      </c>
      <c r="R64" s="1" t="s">
        <v>91</v>
      </c>
    </row>
    <row r="65" spans="1:26" ht="19" x14ac:dyDescent="0.25">
      <c r="A65" s="5" t="s">
        <v>56</v>
      </c>
      <c r="B65" s="1">
        <v>1400</v>
      </c>
      <c r="C65" s="1">
        <v>1329150</v>
      </c>
      <c r="D65" s="1">
        <v>1338005</v>
      </c>
      <c r="E65" s="1">
        <v>5770788</v>
      </c>
      <c r="F65" s="1">
        <v>4000000</v>
      </c>
      <c r="G65" s="1" t="s">
        <v>91</v>
      </c>
      <c r="H65" s="1">
        <v>7450000</v>
      </c>
      <c r="I65" s="1">
        <v>7600000</v>
      </c>
      <c r="J65" s="1">
        <v>10750000</v>
      </c>
      <c r="K65" s="1">
        <v>4500000</v>
      </c>
      <c r="L65" s="1">
        <v>4500000</v>
      </c>
      <c r="M65" s="1">
        <v>3500000</v>
      </c>
      <c r="N65" s="1">
        <v>7959381</v>
      </c>
      <c r="O65" s="1">
        <v>239848</v>
      </c>
      <c r="P65" s="1">
        <v>597238</v>
      </c>
      <c r="Q65" s="1">
        <v>3849737</v>
      </c>
      <c r="R65" s="1">
        <v>196195000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row>
    <row r="67" spans="1:26" ht="19" x14ac:dyDescent="0.25">
      <c r="A67" s="6" t="s">
        <v>58</v>
      </c>
      <c r="B67" s="10">
        <v>1400</v>
      </c>
      <c r="C67" s="10">
        <v>4137882</v>
      </c>
      <c r="D67" s="10">
        <v>2191542</v>
      </c>
      <c r="E67" s="10">
        <v>8625893</v>
      </c>
      <c r="F67" s="10">
        <v>6835048</v>
      </c>
      <c r="G67" s="10" t="s">
        <v>91</v>
      </c>
      <c r="H67" s="10">
        <v>8485197</v>
      </c>
      <c r="I67" s="10">
        <v>8935615</v>
      </c>
      <c r="J67" s="10">
        <v>12115054</v>
      </c>
      <c r="K67" s="10">
        <v>6521835</v>
      </c>
      <c r="L67" s="10">
        <v>6822485</v>
      </c>
      <c r="M67" s="10">
        <v>9963628</v>
      </c>
      <c r="N67" s="10">
        <v>22824525</v>
      </c>
      <c r="O67" s="10">
        <v>26923247</v>
      </c>
      <c r="P67" s="10">
        <v>26962330</v>
      </c>
      <c r="Q67" s="10">
        <v>96973231</v>
      </c>
      <c r="R67" s="10">
        <v>357490000</v>
      </c>
    </row>
    <row r="68" spans="1:26" ht="19" x14ac:dyDescent="0.25">
      <c r="A68" s="5" t="s">
        <v>59</v>
      </c>
      <c r="B68" s="1">
        <v>3800</v>
      </c>
      <c r="C68" s="1">
        <v>105611</v>
      </c>
      <c r="D68" s="1">
        <v>148789</v>
      </c>
      <c r="E68" s="1">
        <v>12030</v>
      </c>
      <c r="F68" s="1">
        <v>18515</v>
      </c>
      <c r="G68" s="1" t="s">
        <v>91</v>
      </c>
      <c r="H68" s="1">
        <v>20179</v>
      </c>
      <c r="I68" s="1">
        <v>20179</v>
      </c>
      <c r="J68" s="1">
        <v>20459</v>
      </c>
      <c r="K68" s="1">
        <v>38380</v>
      </c>
      <c r="L68" s="1">
        <v>40000</v>
      </c>
      <c r="M68" s="1">
        <v>45702</v>
      </c>
      <c r="N68" s="1">
        <v>57003</v>
      </c>
      <c r="O68" s="1">
        <v>68942</v>
      </c>
      <c r="P68" s="1">
        <v>72263</v>
      </c>
      <c r="Q68" s="1">
        <v>74909</v>
      </c>
      <c r="R68" s="1">
        <v>76000</v>
      </c>
    </row>
    <row r="69" spans="1:26" ht="19" x14ac:dyDescent="0.25">
      <c r="A69" s="5" t="s">
        <v>60</v>
      </c>
      <c r="B69" s="1">
        <v>-20978</v>
      </c>
      <c r="C69" s="1">
        <v>-6120768</v>
      </c>
      <c r="D69" s="1">
        <v>-11382368</v>
      </c>
      <c r="E69" s="1">
        <v>-19141397</v>
      </c>
      <c r="F69" s="1">
        <v>-38638799</v>
      </c>
      <c r="G69" s="1" t="s">
        <v>91</v>
      </c>
      <c r="H69" s="1">
        <v>-43363358</v>
      </c>
      <c r="I69" s="1">
        <v>-45189294</v>
      </c>
      <c r="J69" s="1">
        <v>-47350266</v>
      </c>
      <c r="K69" s="1">
        <v>-49920563</v>
      </c>
      <c r="L69" s="1">
        <v>-53354332</v>
      </c>
      <c r="M69" s="1">
        <v>-61960910</v>
      </c>
      <c r="N69" s="1">
        <v>-73380691</v>
      </c>
      <c r="O69" s="1">
        <v>-63409431</v>
      </c>
      <c r="P69" s="1">
        <v>-55426832</v>
      </c>
      <c r="Q69" s="1">
        <v>-51489559</v>
      </c>
      <c r="R69" s="1">
        <v>-238772000</v>
      </c>
    </row>
    <row r="70" spans="1:26" ht="19" x14ac:dyDescent="0.25">
      <c r="A70" s="5" t="s">
        <v>61</v>
      </c>
      <c r="B70" s="1" t="s">
        <v>91</v>
      </c>
      <c r="C70" s="1" t="s">
        <v>91</v>
      </c>
      <c r="D70" s="1" t="s">
        <v>91</v>
      </c>
      <c r="E70" s="1" t="s">
        <v>91</v>
      </c>
      <c r="F70" s="1" t="s">
        <v>91</v>
      </c>
      <c r="G70" s="1" t="s">
        <v>91</v>
      </c>
      <c r="H70" s="1" t="s">
        <v>91</v>
      </c>
      <c r="I70" s="1" t="s">
        <v>91</v>
      </c>
      <c r="J70" s="1" t="s">
        <v>91</v>
      </c>
      <c r="K70" s="1" t="s">
        <v>91</v>
      </c>
      <c r="L70" s="1" t="s">
        <v>91</v>
      </c>
      <c r="M70" s="1">
        <v>-39378</v>
      </c>
      <c r="N70" s="1">
        <v>-26997</v>
      </c>
      <c r="O70" s="1">
        <v>-753520</v>
      </c>
      <c r="P70" s="1">
        <v>-202142</v>
      </c>
      <c r="Q70" s="1">
        <v>613651</v>
      </c>
      <c r="R70" s="1">
        <v>-1881000</v>
      </c>
    </row>
    <row r="71" spans="1:26" ht="19" x14ac:dyDescent="0.25">
      <c r="A71" s="5" t="s">
        <v>62</v>
      </c>
      <c r="B71" s="1">
        <v>114200</v>
      </c>
      <c r="C71" s="1">
        <v>4410405</v>
      </c>
      <c r="D71" s="1">
        <v>11244806</v>
      </c>
      <c r="E71" s="1">
        <v>15977210</v>
      </c>
      <c r="F71" s="1">
        <v>36101998</v>
      </c>
      <c r="G71" s="1" t="s">
        <v>91</v>
      </c>
      <c r="H71" s="1">
        <v>36909001</v>
      </c>
      <c r="I71" s="1">
        <v>39263210</v>
      </c>
      <c r="J71" s="1">
        <v>40165957</v>
      </c>
      <c r="K71" s="1">
        <v>58626218</v>
      </c>
      <c r="L71" s="1">
        <v>64208969</v>
      </c>
      <c r="M71" s="1">
        <v>79101831</v>
      </c>
      <c r="N71" s="1">
        <v>85153667</v>
      </c>
      <c r="O71" s="1">
        <v>127552998</v>
      </c>
      <c r="P71" s="1">
        <v>159884154</v>
      </c>
      <c r="Q71" s="1">
        <v>267846196</v>
      </c>
      <c r="R71" s="1">
        <v>280668000</v>
      </c>
    </row>
    <row r="72" spans="1:26" ht="19" x14ac:dyDescent="0.25">
      <c r="A72" s="6" t="s">
        <v>63</v>
      </c>
      <c r="B72" s="10">
        <v>97022</v>
      </c>
      <c r="C72" s="10">
        <v>-1604752</v>
      </c>
      <c r="D72" s="10">
        <v>11227</v>
      </c>
      <c r="E72" s="10">
        <v>-3152157</v>
      </c>
      <c r="F72" s="10">
        <v>-2518286</v>
      </c>
      <c r="G72" s="10" t="s">
        <v>91</v>
      </c>
      <c r="H72" s="10">
        <v>-6434178</v>
      </c>
      <c r="I72" s="10">
        <v>-5905905</v>
      </c>
      <c r="J72" s="10">
        <v>-7163850</v>
      </c>
      <c r="K72" s="10">
        <v>8744035</v>
      </c>
      <c r="L72" s="10">
        <v>10894637</v>
      </c>
      <c r="M72" s="10">
        <v>17147245</v>
      </c>
      <c r="N72" s="10">
        <v>11802982</v>
      </c>
      <c r="O72" s="10">
        <v>63458989</v>
      </c>
      <c r="P72" s="10">
        <v>104327443</v>
      </c>
      <c r="Q72" s="10">
        <v>217045197</v>
      </c>
      <c r="R72" s="10">
        <v>40091000</v>
      </c>
    </row>
    <row r="73" spans="1:26" ht="20" thickBot="1" x14ac:dyDescent="0.3">
      <c r="A73" s="7" t="s">
        <v>64</v>
      </c>
      <c r="B73" s="11">
        <v>98422</v>
      </c>
      <c r="C73" s="11">
        <v>2533130</v>
      </c>
      <c r="D73" s="11">
        <v>2202769</v>
      </c>
      <c r="E73" s="11">
        <v>5473736</v>
      </c>
      <c r="F73" s="11">
        <v>4316762</v>
      </c>
      <c r="G73" s="11" t="s">
        <v>91</v>
      </c>
      <c r="H73" s="11">
        <v>2051019</v>
      </c>
      <c r="I73" s="11">
        <v>3029710</v>
      </c>
      <c r="J73" s="11">
        <v>4951204</v>
      </c>
      <c r="K73" s="11">
        <v>15265870</v>
      </c>
      <c r="L73" s="11">
        <v>17717122</v>
      </c>
      <c r="M73" s="11">
        <v>27110873</v>
      </c>
      <c r="N73" s="11">
        <v>34627507</v>
      </c>
      <c r="O73" s="11">
        <v>90382236</v>
      </c>
      <c r="P73" s="11">
        <v>131289773</v>
      </c>
      <c r="Q73" s="11">
        <v>314018428</v>
      </c>
      <c r="R73" s="11">
        <v>397581000</v>
      </c>
    </row>
    <row r="74" spans="1:2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row>
    <row r="76" spans="1:26" ht="19" x14ac:dyDescent="0.25">
      <c r="A76" s="5" t="s">
        <v>66</v>
      </c>
      <c r="B76" s="1">
        <v>-12960</v>
      </c>
      <c r="C76" s="1">
        <v>-3725841</v>
      </c>
      <c r="D76" s="1">
        <v>-5261600</v>
      </c>
      <c r="E76" s="1">
        <v>-7759029</v>
      </c>
      <c r="F76" s="1">
        <v>-19497402</v>
      </c>
      <c r="G76" s="1" t="s">
        <v>91</v>
      </c>
      <c r="H76" s="1">
        <v>-2814902</v>
      </c>
      <c r="I76" s="1">
        <v>-1779369</v>
      </c>
      <c r="J76" s="1">
        <v>-2160972</v>
      </c>
      <c r="K76" s="1">
        <v>-2570297</v>
      </c>
      <c r="L76" s="1">
        <v>-3067615</v>
      </c>
      <c r="M76" s="1">
        <v>-8240583</v>
      </c>
      <c r="N76" s="1">
        <v>-11206648</v>
      </c>
      <c r="O76" s="1">
        <v>9971260</v>
      </c>
      <c r="P76" s="1">
        <v>8523849</v>
      </c>
      <c r="Q76" s="1">
        <v>3937273</v>
      </c>
      <c r="R76" s="1">
        <v>-187282000</v>
      </c>
    </row>
    <row r="77" spans="1:26" ht="19" x14ac:dyDescent="0.25">
      <c r="A77" s="5" t="s">
        <v>13</v>
      </c>
      <c r="B77" s="1" t="s">
        <v>91</v>
      </c>
      <c r="C77" s="1">
        <v>19390</v>
      </c>
      <c r="D77" s="1">
        <v>31605</v>
      </c>
      <c r="E77" s="1">
        <v>55103</v>
      </c>
      <c r="F77" s="1">
        <v>50229</v>
      </c>
      <c r="G77" s="1" t="s">
        <v>91</v>
      </c>
      <c r="H77" s="1">
        <v>41500</v>
      </c>
      <c r="I77" s="1">
        <v>41513</v>
      </c>
      <c r="J77" s="1">
        <v>37256</v>
      </c>
      <c r="K77" s="1">
        <v>33043</v>
      </c>
      <c r="L77" s="1">
        <v>16951</v>
      </c>
      <c r="M77" s="1">
        <v>20425</v>
      </c>
      <c r="N77" s="1">
        <v>72162</v>
      </c>
      <c r="O77" s="1">
        <v>893413</v>
      </c>
      <c r="P77" s="1">
        <v>1738829</v>
      </c>
      <c r="Q77" s="1">
        <v>1263221</v>
      </c>
      <c r="R77" s="1">
        <v>1917000</v>
      </c>
    </row>
    <row r="78" spans="1:26"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-9019241</v>
      </c>
      <c r="R78" s="1">
        <v>20244000</v>
      </c>
    </row>
    <row r="79" spans="1:26" ht="19" x14ac:dyDescent="0.25">
      <c r="A79" s="5" t="s">
        <v>68</v>
      </c>
      <c r="B79" s="1" t="s">
        <v>91</v>
      </c>
      <c r="C79" s="1" t="s">
        <v>91</v>
      </c>
      <c r="D79" s="1">
        <v>131450</v>
      </c>
      <c r="E79" s="1">
        <v>36125</v>
      </c>
      <c r="F79" s="1" t="s">
        <v>91</v>
      </c>
      <c r="G79" s="1" t="s">
        <v>91</v>
      </c>
      <c r="H79" s="1">
        <v>327243</v>
      </c>
      <c r="I79" s="1">
        <v>154209</v>
      </c>
      <c r="J79" s="1">
        <v>903027</v>
      </c>
      <c r="K79" s="1">
        <v>1270488</v>
      </c>
      <c r="L79" s="1">
        <v>1579045</v>
      </c>
      <c r="M79" s="1">
        <v>2569042</v>
      </c>
      <c r="N79" s="1">
        <v>4573397</v>
      </c>
      <c r="O79" s="1">
        <v>4831750</v>
      </c>
      <c r="P79" s="1">
        <v>6340000</v>
      </c>
      <c r="Q79" s="1">
        <v>36475161</v>
      </c>
      <c r="R79" s="1">
        <v>20665000</v>
      </c>
    </row>
    <row r="80" spans="1:26" ht="19" x14ac:dyDescent="0.25">
      <c r="A80" s="14" t="s">
        <v>104</v>
      </c>
      <c r="B80" s="15" t="e">
        <f t="shared" ref="B80:R80" si="56">B79/B3</f>
        <v>#VALUE!</v>
      </c>
      <c r="C80" s="15" t="e">
        <f t="shared" si="56"/>
        <v>#VALUE!</v>
      </c>
      <c r="D80" s="15">
        <f t="shared" si="56"/>
        <v>5.0755110165038086E-2</v>
      </c>
      <c r="E80" s="15">
        <f t="shared" si="56"/>
        <v>6.1563814621768114E-3</v>
      </c>
      <c r="F80" s="15" t="e">
        <f t="shared" si="56"/>
        <v>#VALUE!</v>
      </c>
      <c r="G80" s="15" t="e">
        <f t="shared" si="56"/>
        <v>#VALUE!</v>
      </c>
      <c r="H80" s="15">
        <f t="shared" si="56"/>
        <v>4.2587556879517909E-2</v>
      </c>
      <c r="I80" s="15">
        <f t="shared" si="56"/>
        <v>1.4530335723506298E-2</v>
      </c>
      <c r="J80" s="15">
        <f t="shared" si="56"/>
        <v>6.180844881859044E-2</v>
      </c>
      <c r="K80" s="15">
        <f t="shared" si="56"/>
        <v>7.3788601008343391E-2</v>
      </c>
      <c r="L80" s="15">
        <f t="shared" si="56"/>
        <v>6.9375067082987213E-2</v>
      </c>
      <c r="M80" s="15">
        <f t="shared" si="56"/>
        <v>7.1038531510175404E-2</v>
      </c>
      <c r="N80" s="15">
        <f t="shared" si="56"/>
        <v>8.6940122750393853E-2</v>
      </c>
      <c r="O80" s="15">
        <f t="shared" si="56"/>
        <v>6.4297699058583471E-2</v>
      </c>
      <c r="P80" s="15">
        <f t="shared" si="56"/>
        <v>4.8498468668501396E-2</v>
      </c>
      <c r="Q80" s="15">
        <f t="shared" si="56"/>
        <v>0.11606255785939573</v>
      </c>
      <c r="R80" s="15">
        <f t="shared" si="56"/>
        <v>3.161700356790962E-2</v>
      </c>
      <c r="S80" s="15"/>
      <c r="T80" s="15"/>
      <c r="U80" s="15"/>
      <c r="V80" s="15"/>
      <c r="W80" s="15"/>
      <c r="X80" s="15"/>
      <c r="Y80" s="15"/>
      <c r="Z80" s="15"/>
    </row>
    <row r="81" spans="1:26" ht="19" x14ac:dyDescent="0.25">
      <c r="A81" s="5" t="s">
        <v>69</v>
      </c>
      <c r="B81" s="1">
        <v>-2100</v>
      </c>
      <c r="C81" s="1">
        <v>166337</v>
      </c>
      <c r="D81" s="1">
        <v>-435652</v>
      </c>
      <c r="E81" s="1">
        <v>-2675455</v>
      </c>
      <c r="F81" s="1">
        <v>2192575</v>
      </c>
      <c r="G81" s="1" t="s">
        <v>91</v>
      </c>
      <c r="H81" s="1">
        <v>-296414</v>
      </c>
      <c r="I81" s="1">
        <v>-492958</v>
      </c>
      <c r="J81" s="1">
        <v>-1698528</v>
      </c>
      <c r="K81" s="1">
        <v>372076</v>
      </c>
      <c r="L81" s="1">
        <v>-885698</v>
      </c>
      <c r="M81" s="1">
        <v>-2767009</v>
      </c>
      <c r="N81" s="1">
        <v>-5462379</v>
      </c>
      <c r="O81" s="1">
        <v>-2642776</v>
      </c>
      <c r="P81" s="1">
        <v>-13609967</v>
      </c>
      <c r="Q81" s="1">
        <v>-133943071</v>
      </c>
      <c r="R81" s="1">
        <v>235408000</v>
      </c>
    </row>
    <row r="82" spans="1:26" ht="19" x14ac:dyDescent="0.25">
      <c r="A82" s="5" t="s">
        <v>70</v>
      </c>
      <c r="B82" s="1" t="s">
        <v>91</v>
      </c>
      <c r="C82" s="1" t="s">
        <v>91</v>
      </c>
      <c r="D82" s="1">
        <v>30997</v>
      </c>
      <c r="E82" s="1">
        <v>-1953204</v>
      </c>
      <c r="F82" s="1">
        <v>975163</v>
      </c>
      <c r="G82" s="1" t="s">
        <v>91</v>
      </c>
      <c r="H82" s="1">
        <v>-82458</v>
      </c>
      <c r="I82" s="1">
        <v>-871225</v>
      </c>
      <c r="J82" s="1">
        <v>-1120641</v>
      </c>
      <c r="K82" s="1">
        <v>485131</v>
      </c>
      <c r="L82" s="1">
        <v>-660673</v>
      </c>
      <c r="M82" s="1">
        <v>-3587926</v>
      </c>
      <c r="N82" s="1">
        <v>-6604738</v>
      </c>
      <c r="O82" s="1">
        <v>-1432980</v>
      </c>
      <c r="P82" s="1">
        <v>-7468772</v>
      </c>
      <c r="Q82" s="1">
        <v>-25248403</v>
      </c>
      <c r="R82" s="1">
        <v>-63311000</v>
      </c>
    </row>
    <row r="83" spans="1:26" ht="21" x14ac:dyDescent="0.25">
      <c r="A83" s="5" t="s">
        <v>34</v>
      </c>
      <c r="B83" s="1" t="s">
        <v>91</v>
      </c>
      <c r="C83" s="1">
        <v>-13675</v>
      </c>
      <c r="D83" s="1">
        <v>-116836</v>
      </c>
      <c r="E83" s="1">
        <v>-981831</v>
      </c>
      <c r="F83" s="1">
        <v>-611565</v>
      </c>
      <c r="G83" s="1" t="s">
        <v>91</v>
      </c>
      <c r="H83" s="1">
        <v>-49930</v>
      </c>
      <c r="I83" s="1">
        <v>100438</v>
      </c>
      <c r="J83" s="1">
        <v>-865664</v>
      </c>
      <c r="K83" s="1">
        <v>-635969</v>
      </c>
      <c r="L83" s="1">
        <v>111534</v>
      </c>
      <c r="M83" s="1">
        <v>-3094135</v>
      </c>
      <c r="N83" s="1">
        <v>-6177196</v>
      </c>
      <c r="O83" s="1">
        <v>-2239254</v>
      </c>
      <c r="P83" s="1">
        <v>-3858780</v>
      </c>
      <c r="Q83" s="1">
        <v>-175173066</v>
      </c>
      <c r="R83" s="1">
        <v>173300000</v>
      </c>
      <c r="Y83" s="64" t="s">
        <v>136</v>
      </c>
      <c r="Z83" s="65"/>
    </row>
    <row r="84" spans="1:26" ht="19" x14ac:dyDescent="0.25">
      <c r="A84" s="5" t="s">
        <v>47</v>
      </c>
      <c r="B84" s="1" t="s">
        <v>91</v>
      </c>
      <c r="C84" s="1" t="s">
        <v>91</v>
      </c>
      <c r="D84" s="1" t="s">
        <v>91</v>
      </c>
      <c r="E84" s="1" t="s">
        <v>91</v>
      </c>
      <c r="F84" s="1" t="s">
        <v>91</v>
      </c>
      <c r="G84" s="1" t="s">
        <v>91</v>
      </c>
      <c r="H84" s="1" t="s">
        <v>91</v>
      </c>
      <c r="I84" s="1" t="s">
        <v>91</v>
      </c>
      <c r="J84" s="1" t="s">
        <v>91</v>
      </c>
      <c r="K84" s="1" t="s">
        <v>91</v>
      </c>
      <c r="L84" s="1">
        <v>-51697</v>
      </c>
      <c r="M84" s="1">
        <v>4557616</v>
      </c>
      <c r="N84" s="1">
        <v>8533388</v>
      </c>
      <c r="O84" s="1">
        <v>2624892</v>
      </c>
      <c r="P84" s="1" t="s">
        <v>91</v>
      </c>
      <c r="Q84" s="1">
        <v>41259000</v>
      </c>
      <c r="R84" s="1">
        <v>44920000</v>
      </c>
      <c r="Y84" s="66" t="s">
        <v>137</v>
      </c>
      <c r="Z84" s="66"/>
    </row>
    <row r="85" spans="1:26" ht="20" x14ac:dyDescent="0.25">
      <c r="A85" s="5" t="s">
        <v>71</v>
      </c>
      <c r="B85" s="1" t="s">
        <v>91</v>
      </c>
      <c r="C85" s="1">
        <v>-12580</v>
      </c>
      <c r="D85" s="1" t="s">
        <v>91</v>
      </c>
      <c r="E85" s="1" t="s">
        <v>91</v>
      </c>
      <c r="F85" s="1" t="s">
        <v>91</v>
      </c>
      <c r="G85" s="1" t="s">
        <v>91</v>
      </c>
      <c r="H85" s="1">
        <v>99157</v>
      </c>
      <c r="I85" s="1">
        <v>349836</v>
      </c>
      <c r="J85" s="1">
        <v>-92389</v>
      </c>
      <c r="K85" s="1">
        <v>-331544</v>
      </c>
      <c r="L85" s="1">
        <v>189555</v>
      </c>
      <c r="M85" s="1">
        <v>-196691</v>
      </c>
      <c r="N85" s="1">
        <v>2013</v>
      </c>
      <c r="O85" s="1">
        <v>-895806</v>
      </c>
      <c r="P85" s="1">
        <v>-96281</v>
      </c>
      <c r="Q85" s="1">
        <v>191588</v>
      </c>
      <c r="R85" s="1" t="s">
        <v>91</v>
      </c>
      <c r="Y85" s="24" t="s">
        <v>138</v>
      </c>
      <c r="Z85" s="25">
        <f>R17</f>
        <v>5292000</v>
      </c>
    </row>
    <row r="86" spans="1:26" ht="20" x14ac:dyDescent="0.25">
      <c r="A86" s="5" t="s">
        <v>72</v>
      </c>
      <c r="B86" s="1" t="s">
        <v>91</v>
      </c>
      <c r="C86" s="1" t="s">
        <v>91</v>
      </c>
      <c r="D86" s="1" t="s">
        <v>91</v>
      </c>
      <c r="E86" s="1" t="s">
        <v>91</v>
      </c>
      <c r="F86" s="1" t="s">
        <v>91</v>
      </c>
      <c r="G86" s="1" t="s">
        <v>91</v>
      </c>
      <c r="H86" s="1" t="s">
        <v>91</v>
      </c>
      <c r="I86" s="1" t="s">
        <v>91</v>
      </c>
      <c r="J86" s="1" t="s">
        <v>91</v>
      </c>
      <c r="K86" s="1" t="s">
        <v>91</v>
      </c>
      <c r="L86" s="1" t="s">
        <v>91</v>
      </c>
      <c r="M86" s="1" t="s">
        <v>91</v>
      </c>
      <c r="N86" s="1" t="s">
        <v>91</v>
      </c>
      <c r="O86" s="1">
        <v>-12019659</v>
      </c>
      <c r="P86" s="1">
        <v>402373</v>
      </c>
      <c r="Q86" s="1" t="s">
        <v>91</v>
      </c>
      <c r="R86" s="1" t="s">
        <v>91</v>
      </c>
      <c r="Y86" s="24" t="s">
        <v>139</v>
      </c>
      <c r="Z86" s="25">
        <f>R56</f>
        <v>731000</v>
      </c>
    </row>
    <row r="87" spans="1:26" ht="20" x14ac:dyDescent="0.25">
      <c r="A87" s="6" t="s">
        <v>73</v>
      </c>
      <c r="B87" s="10">
        <v>-15060</v>
      </c>
      <c r="C87" s="10">
        <v>-2550686</v>
      </c>
      <c r="D87" s="10">
        <v>-4840152</v>
      </c>
      <c r="E87" s="10">
        <v>-9638934</v>
      </c>
      <c r="F87" s="10">
        <v>-14222786</v>
      </c>
      <c r="G87" s="10" t="s">
        <v>91</v>
      </c>
      <c r="H87" s="10">
        <v>-2808573</v>
      </c>
      <c r="I87" s="10">
        <v>-2151005</v>
      </c>
      <c r="J87" s="10">
        <v>-2919217</v>
      </c>
      <c r="K87" s="10">
        <v>-755155</v>
      </c>
      <c r="L87" s="10">
        <v>-2363412</v>
      </c>
      <c r="M87" s="10">
        <v>-8418125</v>
      </c>
      <c r="N87" s="10">
        <v>-11646420</v>
      </c>
      <c r="O87" s="10">
        <v>1033988</v>
      </c>
      <c r="P87" s="10">
        <v>3395084</v>
      </c>
      <c r="Q87" s="10">
        <v>-96586324</v>
      </c>
      <c r="R87" s="10">
        <v>108182000</v>
      </c>
      <c r="Y87" s="24" t="s">
        <v>140</v>
      </c>
      <c r="Z87" s="25">
        <f>R61</f>
        <v>703343</v>
      </c>
    </row>
    <row r="88" spans="1:26" ht="20" x14ac:dyDescent="0.25">
      <c r="A88" s="5" t="s">
        <v>74</v>
      </c>
      <c r="B88" s="1" t="s">
        <v>91</v>
      </c>
      <c r="C88" s="1">
        <v>-87664</v>
      </c>
      <c r="D88" s="1">
        <v>-151065</v>
      </c>
      <c r="E88" s="1">
        <v>-57245</v>
      </c>
      <c r="F88" s="1">
        <v>-69520</v>
      </c>
      <c r="G88" s="1" t="s">
        <v>91</v>
      </c>
      <c r="H88" s="1">
        <v>-79190</v>
      </c>
      <c r="I88" s="1">
        <v>-5536</v>
      </c>
      <c r="J88" s="1">
        <v>-12493</v>
      </c>
      <c r="K88" s="1">
        <v>-10412</v>
      </c>
      <c r="L88" s="1">
        <v>-30830</v>
      </c>
      <c r="M88" s="1">
        <v>-49534</v>
      </c>
      <c r="N88" s="1">
        <v>-110417</v>
      </c>
      <c r="O88" s="1">
        <v>-77974</v>
      </c>
      <c r="P88" s="1">
        <v>-573751</v>
      </c>
      <c r="Q88" s="1">
        <v>-3150370</v>
      </c>
      <c r="R88" s="1">
        <v>-8264000</v>
      </c>
      <c r="Y88" s="47" t="s">
        <v>141</v>
      </c>
      <c r="Z88" s="48">
        <f>Z85/(Z86+Z87)</f>
        <v>3.6894940749876426</v>
      </c>
    </row>
    <row r="89" spans="1:26" ht="20" customHeight="1" x14ac:dyDescent="0.25">
      <c r="A89" s="14" t="s">
        <v>105</v>
      </c>
      <c r="B89" s="15" t="e">
        <f t="shared" ref="B89:R89" si="57">(-1*B88)/B3</f>
        <v>#VALUE!</v>
      </c>
      <c r="C89" s="15">
        <f t="shared" si="57"/>
        <v>5.3298313452255011E-2</v>
      </c>
      <c r="D89" s="15">
        <f t="shared" si="57"/>
        <v>5.8328799673499271E-2</v>
      </c>
      <c r="E89" s="15">
        <f t="shared" si="57"/>
        <v>9.7556278699601814E-3</v>
      </c>
      <c r="F89" s="15">
        <f t="shared" si="57"/>
        <v>8.3628454846408507E-3</v>
      </c>
      <c r="G89" s="15" t="e">
        <f t="shared" si="57"/>
        <v>#VALUE!</v>
      </c>
      <c r="H89" s="15">
        <f t="shared" si="57"/>
        <v>1.0305823590692613E-2</v>
      </c>
      <c r="I89" s="15">
        <f t="shared" si="57"/>
        <v>5.2162933788125771E-4</v>
      </c>
      <c r="J89" s="15">
        <f t="shared" si="57"/>
        <v>8.5509397957165222E-4</v>
      </c>
      <c r="K89" s="15">
        <f t="shared" si="57"/>
        <v>6.0471796167997757E-4</v>
      </c>
      <c r="L89" s="15">
        <f t="shared" si="57"/>
        <v>1.35451068092961E-3</v>
      </c>
      <c r="M89" s="15">
        <f t="shared" si="57"/>
        <v>1.3697022547023475E-3</v>
      </c>
      <c r="N89" s="15">
        <f t="shared" si="57"/>
        <v>2.0990234466262692E-3</v>
      </c>
      <c r="O89" s="15">
        <f t="shared" si="57"/>
        <v>1.0376258677278394E-3</v>
      </c>
      <c r="P89" s="15">
        <f t="shared" si="57"/>
        <v>4.3889660720853856E-3</v>
      </c>
      <c r="Q89" s="15">
        <f t="shared" si="57"/>
        <v>1.0024356037893967E-2</v>
      </c>
      <c r="R89" s="15">
        <f t="shared" si="57"/>
        <v>1.2643741470370439E-2</v>
      </c>
      <c r="S89" s="15"/>
      <c r="T89" s="15"/>
      <c r="U89" s="15"/>
      <c r="V89" s="15"/>
      <c r="W89" s="15"/>
      <c r="X89" s="15"/>
      <c r="Y89" s="24" t="s">
        <v>106</v>
      </c>
      <c r="Z89" s="25">
        <f>R27</f>
        <v>34618000</v>
      </c>
    </row>
    <row r="90" spans="1:2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-14188056</v>
      </c>
      <c r="P90" s="1" t="s">
        <v>91</v>
      </c>
      <c r="Q90" s="1" t="s">
        <v>91</v>
      </c>
      <c r="R90" s="1" t="s">
        <v>91</v>
      </c>
      <c r="Y90" s="24" t="s">
        <v>19</v>
      </c>
      <c r="Z90" s="25">
        <f>R25</f>
        <v>-152664000</v>
      </c>
    </row>
    <row r="91" spans="1:26"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Y91" s="47" t="s">
        <v>142</v>
      </c>
      <c r="Z91" s="48">
        <f>Z89/Z90</f>
        <v>-0.22675941937850444</v>
      </c>
    </row>
    <row r="92" spans="1:2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Y92" s="47" t="s">
        <v>143</v>
      </c>
      <c r="Z92" s="48">
        <f>Z88*(1-Z91)</f>
        <v>4.5261216092322734</v>
      </c>
    </row>
    <row r="93" spans="1:26" ht="19" x14ac:dyDescent="0.25">
      <c r="A93" s="5" t="s">
        <v>78</v>
      </c>
      <c r="B93" s="1" t="s">
        <v>91</v>
      </c>
      <c r="C93" s="1" t="s">
        <v>91</v>
      </c>
      <c r="D93" s="1" t="s">
        <v>91</v>
      </c>
      <c r="E93" s="1">
        <v>6835</v>
      </c>
      <c r="F93" s="1">
        <v>46298</v>
      </c>
      <c r="G93" s="1" t="s">
        <v>91</v>
      </c>
      <c r="H93" s="1" t="s">
        <v>91</v>
      </c>
      <c r="I93" s="1" t="s">
        <v>91</v>
      </c>
      <c r="J93" s="1" t="s">
        <v>91</v>
      </c>
      <c r="K93" s="1" t="s">
        <v>91</v>
      </c>
      <c r="L93" s="1">
        <v>7760</v>
      </c>
      <c r="M93" s="1" t="s">
        <v>91</v>
      </c>
      <c r="N93" s="1" t="s">
        <v>91</v>
      </c>
      <c r="O93" s="1" t="s">
        <v>91</v>
      </c>
      <c r="P93" s="1">
        <v>1331011</v>
      </c>
      <c r="Q93" s="1">
        <v>1885724</v>
      </c>
      <c r="R93" s="1">
        <v>2592000</v>
      </c>
      <c r="Y93" s="67" t="s">
        <v>144</v>
      </c>
      <c r="Z93" s="67"/>
    </row>
    <row r="94" spans="1:26" ht="20" x14ac:dyDescent="0.25">
      <c r="A94" s="6" t="s">
        <v>79</v>
      </c>
      <c r="B94" s="10" t="s">
        <v>91</v>
      </c>
      <c r="C94" s="10">
        <v>-87664</v>
      </c>
      <c r="D94" s="10">
        <v>-151065</v>
      </c>
      <c r="E94" s="10">
        <v>-50410</v>
      </c>
      <c r="F94" s="10">
        <v>-23222</v>
      </c>
      <c r="G94" s="10" t="s">
        <v>91</v>
      </c>
      <c r="H94" s="10">
        <v>-79190</v>
      </c>
      <c r="I94" s="10">
        <v>-5536</v>
      </c>
      <c r="J94" s="10">
        <v>-12493</v>
      </c>
      <c r="K94" s="10">
        <v>-10412</v>
      </c>
      <c r="L94" s="10">
        <v>-23070</v>
      </c>
      <c r="M94" s="10">
        <v>-49534</v>
      </c>
      <c r="N94" s="10">
        <v>-110417</v>
      </c>
      <c r="O94" s="10">
        <v>-14266030</v>
      </c>
      <c r="P94" s="10">
        <v>757260</v>
      </c>
      <c r="Q94" s="10">
        <v>-1264646</v>
      </c>
      <c r="R94" s="10">
        <v>-5672000</v>
      </c>
      <c r="Y94" s="24" t="s">
        <v>145</v>
      </c>
      <c r="Z94" s="49">
        <f>[1]Treasuries!$C$8</f>
        <v>4.0480000000000002E-2</v>
      </c>
    </row>
    <row r="95" spans="1:26" ht="20" x14ac:dyDescent="0.25">
      <c r="A95" s="5" t="s">
        <v>80</v>
      </c>
      <c r="B95" s="1" t="s">
        <v>91</v>
      </c>
      <c r="C95" s="1" t="s">
        <v>91</v>
      </c>
      <c r="D95" s="1">
        <v>-1259396</v>
      </c>
      <c r="E95" s="1">
        <v>-273277</v>
      </c>
      <c r="F95" s="1">
        <v>-1185409</v>
      </c>
      <c r="G95" s="1" t="s">
        <v>91</v>
      </c>
      <c r="H95" s="1">
        <v>-83054</v>
      </c>
      <c r="I95" s="1">
        <v>-80534</v>
      </c>
      <c r="J95" s="1">
        <v>-91124</v>
      </c>
      <c r="K95" s="1">
        <v>-1293269</v>
      </c>
      <c r="L95" s="1" t="s">
        <v>91</v>
      </c>
      <c r="M95" s="1" t="s">
        <v>91</v>
      </c>
      <c r="N95" s="1" t="s">
        <v>91</v>
      </c>
      <c r="O95" s="1">
        <v>-26486</v>
      </c>
      <c r="P95" s="1">
        <v>-9881739</v>
      </c>
      <c r="Q95" s="1">
        <v>-94102</v>
      </c>
      <c r="R95" s="1">
        <v>-63000</v>
      </c>
      <c r="Y95" s="24" t="s">
        <v>146</v>
      </c>
      <c r="Z95" s="50" cm="1">
        <f t="array" ref="Z95">_FV(A1,"Beta")</f>
        <v>1.8394999999999999</v>
      </c>
    </row>
    <row r="96" spans="1:26" ht="20" x14ac:dyDescent="0.25">
      <c r="A96" s="5" t="s">
        <v>81</v>
      </c>
      <c r="B96" s="1">
        <v>100000</v>
      </c>
      <c r="C96" s="1">
        <v>2282734</v>
      </c>
      <c r="D96" s="1">
        <v>799312</v>
      </c>
      <c r="E96" s="1">
        <v>78725</v>
      </c>
      <c r="F96" s="1">
        <v>13144830</v>
      </c>
      <c r="G96" s="1" t="s">
        <v>91</v>
      </c>
      <c r="H96" s="1" t="s">
        <v>91</v>
      </c>
      <c r="I96" s="1" t="s">
        <v>91</v>
      </c>
      <c r="J96" s="1" t="s">
        <v>91</v>
      </c>
      <c r="K96" s="1">
        <v>11388084</v>
      </c>
      <c r="L96" s="1">
        <v>4000000</v>
      </c>
      <c r="M96" s="1">
        <v>9999948</v>
      </c>
      <c r="N96" s="1" t="s">
        <v>91</v>
      </c>
      <c r="O96" s="1">
        <v>26955437</v>
      </c>
      <c r="P96" s="1">
        <v>21892316</v>
      </c>
      <c r="Q96" s="1">
        <v>67769387</v>
      </c>
      <c r="R96" s="1">
        <v>0</v>
      </c>
      <c r="Y96" s="24" t="s">
        <v>147</v>
      </c>
      <c r="Z96" s="49">
        <v>8.4000000000000005E-2</v>
      </c>
    </row>
    <row r="97" spans="1:26" ht="20" x14ac:dyDescent="0.25">
      <c r="A97" s="5" t="s">
        <v>82</v>
      </c>
      <c r="B97" s="1" t="s">
        <v>91</v>
      </c>
      <c r="C97" s="1" t="s">
        <v>91</v>
      </c>
      <c r="D97" s="1" t="s">
        <v>91</v>
      </c>
      <c r="E97" s="1" t="s">
        <v>91</v>
      </c>
      <c r="F97" s="1" t="s">
        <v>91</v>
      </c>
      <c r="G97" s="1" t="s">
        <v>91</v>
      </c>
      <c r="H97" s="1">
        <v>-738</v>
      </c>
      <c r="I97" s="1" t="s">
        <v>91</v>
      </c>
      <c r="J97" s="1" t="s">
        <v>91</v>
      </c>
      <c r="K97" s="1" t="s">
        <v>91</v>
      </c>
      <c r="L97" s="1" t="s">
        <v>91</v>
      </c>
      <c r="M97" s="1" t="s">
        <v>91</v>
      </c>
      <c r="N97" s="1" t="s">
        <v>91</v>
      </c>
      <c r="O97" s="1" t="s">
        <v>91</v>
      </c>
      <c r="P97" s="1" t="s">
        <v>91</v>
      </c>
      <c r="Q97" s="1" t="s">
        <v>91</v>
      </c>
      <c r="R97" s="1" t="s">
        <v>91</v>
      </c>
      <c r="Y97" s="47" t="s">
        <v>148</v>
      </c>
      <c r="Z97" s="48">
        <f>(Z94)+((Z95)*(Z96-Z94))</f>
        <v>0.12053504000000001</v>
      </c>
    </row>
    <row r="98" spans="1:26"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v>-11526000</v>
      </c>
      <c r="Y98" s="67" t="s">
        <v>149</v>
      </c>
      <c r="Z98" s="67"/>
    </row>
    <row r="99" spans="1:26" ht="20" x14ac:dyDescent="0.25">
      <c r="A99" s="5" t="s">
        <v>84</v>
      </c>
      <c r="B99" s="1" t="s">
        <v>91</v>
      </c>
      <c r="C99" s="1">
        <v>584519</v>
      </c>
      <c r="D99" s="1">
        <v>6234452</v>
      </c>
      <c r="E99" s="1">
        <v>9450000</v>
      </c>
      <c r="F99" s="1">
        <v>3000515</v>
      </c>
      <c r="G99" s="1" t="s">
        <v>91</v>
      </c>
      <c r="H99" s="1">
        <v>2950000</v>
      </c>
      <c r="I99" s="1">
        <v>2350000</v>
      </c>
      <c r="J99" s="1">
        <v>3150000</v>
      </c>
      <c r="K99" s="1">
        <v>450000</v>
      </c>
      <c r="L99" s="1">
        <v>5300</v>
      </c>
      <c r="M99" s="1">
        <v>946575</v>
      </c>
      <c r="N99" s="1">
        <v>5301013</v>
      </c>
      <c r="O99" s="1">
        <v>1724083</v>
      </c>
      <c r="P99" s="1">
        <v>3560911</v>
      </c>
      <c r="Q99" s="1">
        <v>3720141</v>
      </c>
      <c r="R99" s="1">
        <v>545701</v>
      </c>
      <c r="Y99" s="24" t="s">
        <v>150</v>
      </c>
      <c r="Z99" s="25">
        <f>Z86+Z87</f>
        <v>1434343</v>
      </c>
    </row>
    <row r="100" spans="1:26" ht="20" x14ac:dyDescent="0.25">
      <c r="A100" s="6" t="s">
        <v>85</v>
      </c>
      <c r="B100" s="10">
        <v>100000</v>
      </c>
      <c r="C100" s="10">
        <v>2867253</v>
      </c>
      <c r="D100" s="10">
        <v>5774368</v>
      </c>
      <c r="E100" s="10">
        <v>9255448</v>
      </c>
      <c r="F100" s="10">
        <v>14959936</v>
      </c>
      <c r="G100" s="10" t="s">
        <v>91</v>
      </c>
      <c r="H100" s="10">
        <v>2866208</v>
      </c>
      <c r="I100" s="10">
        <v>2269466</v>
      </c>
      <c r="J100" s="10">
        <v>3058876</v>
      </c>
      <c r="K100" s="10">
        <v>10544815</v>
      </c>
      <c r="L100" s="10">
        <v>4005300</v>
      </c>
      <c r="M100" s="10">
        <v>10946523</v>
      </c>
      <c r="N100" s="10">
        <v>5301013</v>
      </c>
      <c r="O100" s="10">
        <v>28653034</v>
      </c>
      <c r="P100" s="10">
        <v>15571488</v>
      </c>
      <c r="Q100" s="10">
        <v>71395426</v>
      </c>
      <c r="R100" s="10">
        <v>534112000</v>
      </c>
      <c r="Y100" s="47" t="s">
        <v>151</v>
      </c>
      <c r="Z100" s="48">
        <f>Z99/Z103</f>
        <v>1.2791302247429806E-4</v>
      </c>
    </row>
    <row r="101" spans="1:2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-39378</v>
      </c>
      <c r="N101" s="1">
        <v>12381</v>
      </c>
      <c r="O101" s="1">
        <v>-73491</v>
      </c>
      <c r="P101" s="1">
        <v>433507</v>
      </c>
      <c r="Q101" s="1">
        <v>-537769</v>
      </c>
      <c r="R101" s="1">
        <v>50000</v>
      </c>
      <c r="Y101" s="24" t="s">
        <v>152</v>
      </c>
      <c r="Z101" s="51" cm="1">
        <f t="array" ref="Z101">_FV(A1,"Market cap",TRUE)</f>
        <v>11211990000</v>
      </c>
    </row>
    <row r="102" spans="1:26" ht="20" x14ac:dyDescent="0.25">
      <c r="A102" s="6" t="s">
        <v>87</v>
      </c>
      <c r="B102" s="10">
        <v>84940</v>
      </c>
      <c r="C102" s="10">
        <v>228903</v>
      </c>
      <c r="D102" s="10">
        <v>783151</v>
      </c>
      <c r="E102" s="10">
        <v>-433896</v>
      </c>
      <c r="F102" s="10">
        <v>713928</v>
      </c>
      <c r="G102" s="10" t="s">
        <v>91</v>
      </c>
      <c r="H102" s="10">
        <v>-21555</v>
      </c>
      <c r="I102" s="10">
        <v>112925</v>
      </c>
      <c r="J102" s="10">
        <v>127166</v>
      </c>
      <c r="K102" s="10">
        <v>9779248</v>
      </c>
      <c r="L102" s="10">
        <v>1618818</v>
      </c>
      <c r="M102" s="10">
        <v>2439486</v>
      </c>
      <c r="N102" s="10">
        <v>-6443443</v>
      </c>
      <c r="O102" s="10">
        <v>15347501</v>
      </c>
      <c r="P102" s="10">
        <v>20157339</v>
      </c>
      <c r="Q102" s="10">
        <v>-26993313</v>
      </c>
      <c r="R102" s="10">
        <v>636622000</v>
      </c>
      <c r="Y102" s="47" t="s">
        <v>153</v>
      </c>
      <c r="Z102" s="48">
        <f>Z101/Z103</f>
        <v>0.99987208697752572</v>
      </c>
    </row>
    <row r="103" spans="1:26" ht="20" x14ac:dyDescent="0.25">
      <c r="A103" s="5" t="s">
        <v>88</v>
      </c>
      <c r="B103" s="1">
        <v>10482</v>
      </c>
      <c r="C103" s="1">
        <v>28579</v>
      </c>
      <c r="D103" s="1">
        <v>257482</v>
      </c>
      <c r="E103" s="1">
        <v>1040633</v>
      </c>
      <c r="F103" s="1">
        <v>606737</v>
      </c>
      <c r="G103" s="1" t="s">
        <v>91</v>
      </c>
      <c r="H103" s="1">
        <v>130536</v>
      </c>
      <c r="I103" s="1">
        <v>108981</v>
      </c>
      <c r="J103" s="1">
        <v>221906</v>
      </c>
      <c r="K103" s="1">
        <v>349072</v>
      </c>
      <c r="L103" s="1">
        <v>10128320</v>
      </c>
      <c r="M103" s="1">
        <v>11747138</v>
      </c>
      <c r="N103" s="1">
        <v>14186624</v>
      </c>
      <c r="O103" s="1">
        <v>7743181</v>
      </c>
      <c r="P103" s="1">
        <v>23090682</v>
      </c>
      <c r="Q103" s="1">
        <v>43248021</v>
      </c>
      <c r="R103" s="1">
        <v>16254708</v>
      </c>
      <c r="Y103" s="47" t="s">
        <v>154</v>
      </c>
      <c r="Z103" s="52">
        <f>Z99+Z101</f>
        <v>11213424343</v>
      </c>
    </row>
    <row r="104" spans="1:26" ht="20" thickBot="1" x14ac:dyDescent="0.3">
      <c r="A104" s="7" t="s">
        <v>89</v>
      </c>
      <c r="B104" s="11">
        <v>95422</v>
      </c>
      <c r="C104" s="11">
        <v>257482</v>
      </c>
      <c r="D104" s="11">
        <v>1040633</v>
      </c>
      <c r="E104" s="11">
        <v>606737</v>
      </c>
      <c r="F104" s="11">
        <v>1320665</v>
      </c>
      <c r="G104" s="11" t="s">
        <v>91</v>
      </c>
      <c r="H104" s="11">
        <v>108981</v>
      </c>
      <c r="I104" s="11">
        <v>221906</v>
      </c>
      <c r="J104" s="11">
        <v>349072</v>
      </c>
      <c r="K104" s="11">
        <v>10128320</v>
      </c>
      <c r="L104" s="11">
        <v>11747138</v>
      </c>
      <c r="M104" s="11">
        <v>14186624</v>
      </c>
      <c r="N104" s="11">
        <v>7743181</v>
      </c>
      <c r="O104" s="11">
        <v>23090682</v>
      </c>
      <c r="P104" s="11">
        <v>43248021</v>
      </c>
      <c r="Q104" s="11">
        <v>16254708</v>
      </c>
      <c r="R104" s="11">
        <v>652927000</v>
      </c>
      <c r="Y104" s="66" t="s">
        <v>155</v>
      </c>
      <c r="Z104" s="66"/>
    </row>
    <row r="105" spans="1:26" ht="21" thickTop="1" x14ac:dyDescent="0.25">
      <c r="A105" s="14" t="s">
        <v>110</v>
      </c>
      <c r="C105" s="1">
        <f t="shared" ref="C105:R105" si="58">(C22*(1-0.2))+C77+C88+C81</f>
        <v>-2737447.4000000004</v>
      </c>
      <c r="D105" s="1">
        <f t="shared" si="58"/>
        <v>-4491105.5999999996</v>
      </c>
      <c r="E105" s="1">
        <f t="shared" si="58"/>
        <v>-8640592.1999999993</v>
      </c>
      <c r="F105" s="1">
        <f t="shared" si="58"/>
        <v>-12864742.4</v>
      </c>
      <c r="G105" s="1" t="e">
        <f t="shared" si="58"/>
        <v>#VALUE!</v>
      </c>
      <c r="H105" s="1">
        <f t="shared" si="58"/>
        <v>-2384333.6</v>
      </c>
      <c r="I105" s="1">
        <f t="shared" si="58"/>
        <v>-1594788.2</v>
      </c>
      <c r="J105" s="1">
        <f t="shared" si="58"/>
        <v>-2897711.4000000004</v>
      </c>
      <c r="K105" s="1">
        <f t="shared" si="58"/>
        <v>-1067261</v>
      </c>
      <c r="L105" s="1">
        <f t="shared" si="58"/>
        <v>-3175545</v>
      </c>
      <c r="M105" s="1">
        <f t="shared" si="58"/>
        <v>-9260091.6000000015</v>
      </c>
      <c r="N105" s="1">
        <f t="shared" si="58"/>
        <v>-14013229.200000001</v>
      </c>
      <c r="O105" s="1">
        <f t="shared" si="58"/>
        <v>-2986091.4000000004</v>
      </c>
      <c r="P105" s="1">
        <f t="shared" si="58"/>
        <v>-6116089</v>
      </c>
      <c r="Q105" s="1">
        <f t="shared" si="58"/>
        <v>-139101832.80000001</v>
      </c>
      <c r="R105" s="1">
        <f t="shared" si="58"/>
        <v>102820200</v>
      </c>
      <c r="S105" s="30">
        <f>R105*(1+$Z$106)</f>
        <v>133422432.81335084</v>
      </c>
      <c r="T105" s="30">
        <f t="shared" ref="T105:W105" si="59">S105*(1+$Z$106)</f>
        <v>173132765.52499527</v>
      </c>
      <c r="U105" s="30">
        <f t="shared" si="59"/>
        <v>224662029.21262851</v>
      </c>
      <c r="V105" s="30">
        <f t="shared" si="59"/>
        <v>291527875.82919496</v>
      </c>
      <c r="W105" s="30">
        <f t="shared" si="59"/>
        <v>378294911.17542714</v>
      </c>
      <c r="X105" s="27" t="s">
        <v>111</v>
      </c>
      <c r="Y105" s="31" t="s">
        <v>112</v>
      </c>
      <c r="Z105" s="32">
        <f>(Z100*Z92)+(Z102*Z97)</f>
        <v>0.12109857189384268</v>
      </c>
    </row>
    <row r="106" spans="1:26" ht="19" x14ac:dyDescent="0.25">
      <c r="A106" s="14" t="s">
        <v>107</v>
      </c>
      <c r="B106" s="1"/>
      <c r="C106" s="15">
        <f t="shared" ref="C106:F106" si="60">(C107/B107)-1</f>
        <v>174.18924302788844</v>
      </c>
      <c r="D106" s="15">
        <f t="shared" si="60"/>
        <v>0.89179487179487182</v>
      </c>
      <c r="E106" s="15">
        <f t="shared" si="60"/>
        <v>0.94264825592636026</v>
      </c>
      <c r="F106" s="15">
        <f t="shared" si="60"/>
        <v>0.47401424829306471</v>
      </c>
      <c r="G106" s="15" t="e">
        <f t="shared" ref="G106" si="61">(G107/F107)-1</f>
        <v>#VALUE!</v>
      </c>
      <c r="H106" s="15" t="e">
        <f t="shared" ref="H106" si="62">(H107/G107)-1</f>
        <v>#VALUE!</v>
      </c>
      <c r="I106" s="15">
        <f t="shared" ref="I106" si="63">(I107/H107)-1</f>
        <v>-0.25321399297657043</v>
      </c>
      <c r="J106" s="15">
        <f t="shared" ref="J106" si="64">(J107/I107)-1</f>
        <v>0.35945015652380352</v>
      </c>
      <c r="K106" s="15">
        <f t="shared" ref="K106" si="65">(K107/J107)-1</f>
        <v>-0.73886673647802814</v>
      </c>
      <c r="L106" s="15">
        <f t="shared" ref="L106" si="66">(L107/K107)-1</f>
        <v>2.1274101417642086</v>
      </c>
      <c r="M106" s="15">
        <f t="shared" ref="M106" si="67">(M107/L107)-1</f>
        <v>2.5366763259520133</v>
      </c>
      <c r="N106" s="15">
        <f t="shared" ref="N106" si="68">(N107/M107)-1</f>
        <v>0.38844006354058425</v>
      </c>
      <c r="O106" s="15">
        <f t="shared" ref="O106" si="69">(O107/N107)-1</f>
        <v>-1.0813155783311448</v>
      </c>
      <c r="P106" s="15">
        <f t="shared" ref="P106" si="70">(P107/O107)-1</f>
        <v>1.9511419288838865</v>
      </c>
      <c r="Q106" s="15">
        <f t="shared" ref="Q106" si="71">(Q107/P107)-1</f>
        <v>-36.350911785315667</v>
      </c>
      <c r="R106" s="15">
        <f t="shared" ref="R106" si="72">(R107/Q107)-1</f>
        <v>-2.0018178464989025</v>
      </c>
      <c r="S106" s="26">
        <v>53780000</v>
      </c>
      <c r="T106" s="26">
        <v>144900000</v>
      </c>
      <c r="U106" s="26">
        <v>214800000</v>
      </c>
      <c r="V106" s="26">
        <v>310400000</v>
      </c>
      <c r="W106" s="26">
        <v>298900000</v>
      </c>
      <c r="X106" s="27" t="s">
        <v>108</v>
      </c>
      <c r="Y106" s="28" t="s">
        <v>109</v>
      </c>
      <c r="Z106" s="29">
        <f>(SUM(S4:W4)/5)</f>
        <v>0.29762860618196468</v>
      </c>
    </row>
    <row r="107" spans="1:26" ht="19" x14ac:dyDescent="0.25">
      <c r="A107" s="33" t="s">
        <v>113</v>
      </c>
      <c r="B107" s="1">
        <v>-15060</v>
      </c>
      <c r="C107" s="1">
        <v>-2638350</v>
      </c>
      <c r="D107" s="1">
        <v>-4991217</v>
      </c>
      <c r="E107" s="1">
        <v>-9696179</v>
      </c>
      <c r="F107" s="1">
        <v>-14292306</v>
      </c>
      <c r="G107" s="1" t="s">
        <v>91</v>
      </c>
      <c r="H107" s="1">
        <v>-2887763</v>
      </c>
      <c r="I107" s="1">
        <v>-2156541</v>
      </c>
      <c r="J107" s="1">
        <v>-2931710</v>
      </c>
      <c r="K107" s="1">
        <v>-765567</v>
      </c>
      <c r="L107" s="1">
        <v>-2394242</v>
      </c>
      <c r="M107" s="1">
        <v>-8467659</v>
      </c>
      <c r="N107" s="1">
        <v>-11756837</v>
      </c>
      <c r="O107" s="1">
        <v>956014</v>
      </c>
      <c r="P107" s="1">
        <v>2821333</v>
      </c>
      <c r="Q107" s="1">
        <v>-99736694</v>
      </c>
      <c r="R107" s="1">
        <v>99918000</v>
      </c>
      <c r="S107" s="27"/>
      <c r="T107" s="27"/>
      <c r="U107" s="27"/>
      <c r="V107" s="27"/>
      <c r="W107" s="51">
        <f>W105*(1+Z107)/(Z108-Z107)</f>
        <v>4034943249.5537133</v>
      </c>
      <c r="X107" s="53" t="s">
        <v>156</v>
      </c>
      <c r="Y107" s="54" t="s">
        <v>157</v>
      </c>
      <c r="Z107" s="55">
        <v>2.5000000000000001E-2</v>
      </c>
    </row>
    <row r="108" spans="1:26" ht="19" x14ac:dyDescent="0.25">
      <c r="A108" s="5"/>
      <c r="B108" s="13"/>
      <c r="C108" s="13"/>
      <c r="D108" s="13"/>
      <c r="E108" s="13"/>
      <c r="F108" s="13"/>
      <c r="G108" s="13"/>
      <c r="H108" s="13"/>
      <c r="I108" s="13"/>
      <c r="J108" s="13"/>
      <c r="K108" s="13"/>
      <c r="L108" s="13"/>
      <c r="M108" s="13"/>
      <c r="N108" s="13"/>
      <c r="O108" s="13"/>
      <c r="P108" s="13"/>
      <c r="Q108" s="13"/>
      <c r="R108" s="13"/>
      <c r="S108" s="51">
        <f t="shared" ref="S108:V108" si="73">S107+S105</f>
        <v>133422432.81335084</v>
      </c>
      <c r="T108" s="51">
        <f t="shared" si="73"/>
        <v>173132765.52499527</v>
      </c>
      <c r="U108" s="51">
        <f t="shared" si="73"/>
        <v>224662029.21262851</v>
      </c>
      <c r="V108" s="51">
        <f t="shared" si="73"/>
        <v>291527875.82919496</v>
      </c>
      <c r="W108" s="51">
        <f>W107+W105</f>
        <v>4413238160.7291403</v>
      </c>
      <c r="X108" s="53" t="s">
        <v>154</v>
      </c>
      <c r="Y108" s="56" t="s">
        <v>158</v>
      </c>
      <c r="Z108" s="29">
        <f>Z105</f>
        <v>0.12109857189384268</v>
      </c>
    </row>
    <row r="109" spans="1:26" ht="19" x14ac:dyDescent="0.25">
      <c r="S109" s="63" t="s">
        <v>159</v>
      </c>
      <c r="T109" s="63"/>
    </row>
    <row r="110" spans="1:26" ht="20" x14ac:dyDescent="0.25">
      <c r="S110" s="57" t="s">
        <v>160</v>
      </c>
      <c r="T110" s="51">
        <f>NPV(Z108,S108,T108,U108,V108,W108)</f>
        <v>3092691444.8814912</v>
      </c>
    </row>
    <row r="111" spans="1:26" ht="20" x14ac:dyDescent="0.25">
      <c r="S111" s="57" t="s">
        <v>161</v>
      </c>
      <c r="T111" s="51">
        <f>R40</f>
        <v>614159000</v>
      </c>
    </row>
    <row r="112" spans="1:26" ht="20" x14ac:dyDescent="0.25">
      <c r="S112" s="57" t="s">
        <v>150</v>
      </c>
      <c r="T112" s="51">
        <f>Z99</f>
        <v>1434343</v>
      </c>
    </row>
    <row r="113" spans="19:20" ht="20" x14ac:dyDescent="0.25">
      <c r="S113" s="57" t="s">
        <v>162</v>
      </c>
      <c r="T113" s="51">
        <f>T110+T111-T112</f>
        <v>3705416101.8814912</v>
      </c>
    </row>
    <row r="114" spans="19:20" ht="20" x14ac:dyDescent="0.25">
      <c r="S114" s="57" t="s">
        <v>167</v>
      </c>
      <c r="T114" s="57">
        <f>R34*(1+(0.05*5))</f>
        <v>94561250</v>
      </c>
    </row>
    <row r="115" spans="19:20" ht="20" x14ac:dyDescent="0.25">
      <c r="S115" s="58" t="s">
        <v>163</v>
      </c>
      <c r="T115" s="59">
        <f>T113/T114</f>
        <v>39.185354485917763</v>
      </c>
    </row>
    <row r="116" spans="19:20" ht="20" x14ac:dyDescent="0.25">
      <c r="S116" s="57" t="s">
        <v>164</v>
      </c>
      <c r="T116" s="60" cm="1">
        <f t="array" ref="T116">_FV(A1,"Price")</f>
        <v>146.01</v>
      </c>
    </row>
    <row r="117" spans="19:20" ht="20" x14ac:dyDescent="0.25">
      <c r="S117" s="58" t="s">
        <v>165</v>
      </c>
      <c r="T117" s="61">
        <f>T115/T116-1</f>
        <v>-0.73162554286749015</v>
      </c>
    </row>
    <row r="118" spans="19:20" ht="20" x14ac:dyDescent="0.25">
      <c r="S118" s="58" t="s">
        <v>166</v>
      </c>
      <c r="T118" s="62" t="str">
        <f>IF(T115&gt;T116,"BUY","SELL")</f>
        <v>SELL</v>
      </c>
    </row>
  </sheetData>
  <mergeCells count="6">
    <mergeCell ref="S109:T109"/>
    <mergeCell ref="Y83:Z83"/>
    <mergeCell ref="Y84:Z84"/>
    <mergeCell ref="Y93:Z93"/>
    <mergeCell ref="Y98:Z98"/>
    <mergeCell ref="Y104:Z104"/>
  </mergeCells>
  <hyperlinks>
    <hyperlink ref="S1" r:id="rId1" display="https://finbox.com/NASDAQCM:CELH/explorer/revenue_proj" xr:uid="{1B2D7DE6-0DB2-7D46-8D01-E4AF421D5E9C}"/>
    <hyperlink ref="X106" r:id="rId2" xr:uid="{1307AC39-6DE0-384D-8157-951156763898}"/>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2023-05-14T10:18:43Z</dcterms:created>
  <dcterms:modified xsi:type="dcterms:W3CDTF">2023-07-10T05:12:09Z</dcterms:modified>
</cp:coreProperties>
</file>