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EF4AE550-12A2-6B4E-A8D6-09EAE004ADB1}"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08" i="1" l="1"/>
  <c r="N108" i="1"/>
  <c r="O108" i="1"/>
  <c r="P108" i="1"/>
  <c r="L105" i="1"/>
  <c r="B105" i="1" l="1"/>
  <c r="C105" i="1"/>
  <c r="D105" i="1"/>
  <c r="E105" i="1"/>
  <c r="F105" i="1"/>
  <c r="G105" i="1"/>
  <c r="H105" i="1"/>
  <c r="I105" i="1"/>
  <c r="J105" i="1"/>
  <c r="K105" i="1"/>
  <c r="T90" i="1"/>
  <c r="N116" i="1" a="1"/>
  <c r="N116" i="1" s="1"/>
  <c r="N111" i="1"/>
  <c r="T101" i="1" a="1"/>
  <c r="T101" i="1" s="1"/>
  <c r="T95" i="1" a="1"/>
  <c r="T95" i="1" s="1"/>
  <c r="T94" i="1"/>
  <c r="T91" i="1"/>
  <c r="T89" i="1"/>
  <c r="T87" i="1"/>
  <c r="T86" i="1"/>
  <c r="T99" i="1" s="1"/>
  <c r="T85" i="1"/>
  <c r="Q30" i="1"/>
  <c r="P30" i="1"/>
  <c r="O30" i="1"/>
  <c r="N30" i="1"/>
  <c r="M30" i="1"/>
  <c r="Q29" i="1"/>
  <c r="P29" i="1"/>
  <c r="O29" i="1"/>
  <c r="N29" i="1"/>
  <c r="M29" i="1"/>
  <c r="Q21" i="1"/>
  <c r="P21" i="1"/>
  <c r="O21" i="1"/>
  <c r="N21" i="1"/>
  <c r="M21" i="1"/>
  <c r="Q20" i="1"/>
  <c r="P20" i="1"/>
  <c r="O20" i="1"/>
  <c r="N20" i="1"/>
  <c r="M20" i="1"/>
  <c r="R19" i="1"/>
  <c r="R16" i="1"/>
  <c r="N114" i="1" s="1"/>
  <c r="U13" i="1"/>
  <c r="T13" i="1"/>
  <c r="S13" i="1"/>
  <c r="R13" i="1"/>
  <c r="U10" i="1"/>
  <c r="T10" i="1"/>
  <c r="S10" i="1"/>
  <c r="R10" i="1"/>
  <c r="U7" i="1"/>
  <c r="T7" i="1"/>
  <c r="S7" i="1"/>
  <c r="R7" i="1"/>
  <c r="U4" i="1"/>
  <c r="T4" i="1"/>
  <c r="S4" i="1"/>
  <c r="R4" i="1"/>
  <c r="Q4" i="1"/>
  <c r="P4" i="1"/>
  <c r="O4" i="1"/>
  <c r="N4" i="1"/>
  <c r="M4" i="1"/>
  <c r="L106" i="1"/>
  <c r="K106" i="1"/>
  <c r="J106" i="1"/>
  <c r="I106" i="1"/>
  <c r="H106" i="1"/>
  <c r="G106" i="1"/>
  <c r="F106" i="1"/>
  <c r="E106" i="1"/>
  <c r="D106" i="1"/>
  <c r="C106" i="1"/>
  <c r="B106" i="1"/>
  <c r="L89" i="1"/>
  <c r="K89" i="1"/>
  <c r="J89" i="1"/>
  <c r="I89" i="1"/>
  <c r="H89" i="1"/>
  <c r="G89" i="1"/>
  <c r="F89" i="1"/>
  <c r="E89" i="1"/>
  <c r="D89" i="1"/>
  <c r="C89" i="1"/>
  <c r="B89" i="1"/>
  <c r="L80" i="1"/>
  <c r="K80" i="1"/>
  <c r="J80" i="1"/>
  <c r="I80" i="1"/>
  <c r="H80" i="1"/>
  <c r="G80" i="1"/>
  <c r="F80" i="1"/>
  <c r="E80" i="1"/>
  <c r="D80" i="1"/>
  <c r="C80" i="1"/>
  <c r="B80" i="1"/>
  <c r="L35" i="1"/>
  <c r="K35" i="1"/>
  <c r="J35" i="1"/>
  <c r="I35" i="1"/>
  <c r="H35" i="1"/>
  <c r="G35" i="1"/>
  <c r="F35" i="1"/>
  <c r="E35" i="1"/>
  <c r="D35" i="1"/>
  <c r="C35" i="1"/>
  <c r="L29" i="1"/>
  <c r="K29" i="1"/>
  <c r="J29" i="1"/>
  <c r="I29" i="1"/>
  <c r="H29" i="1"/>
  <c r="G29" i="1"/>
  <c r="F29" i="1"/>
  <c r="E29" i="1"/>
  <c r="D29" i="1"/>
  <c r="C29" i="1"/>
  <c r="L20" i="1"/>
  <c r="K20" i="1"/>
  <c r="J20" i="1"/>
  <c r="I20" i="1"/>
  <c r="H20" i="1"/>
  <c r="G20" i="1"/>
  <c r="F20" i="1"/>
  <c r="E20" i="1"/>
  <c r="D20" i="1"/>
  <c r="C20" i="1"/>
  <c r="L13" i="1"/>
  <c r="K13" i="1"/>
  <c r="J13" i="1"/>
  <c r="I13" i="1"/>
  <c r="H13" i="1"/>
  <c r="G13" i="1"/>
  <c r="F13" i="1"/>
  <c r="E13" i="1"/>
  <c r="D13" i="1"/>
  <c r="C13" i="1"/>
  <c r="B13" i="1"/>
  <c r="L9" i="1"/>
  <c r="K9" i="1"/>
  <c r="J9" i="1"/>
  <c r="I9" i="1"/>
  <c r="H9" i="1"/>
  <c r="G9" i="1"/>
  <c r="F9" i="1"/>
  <c r="E9" i="1"/>
  <c r="D9" i="1"/>
  <c r="C9" i="1"/>
  <c r="B9" i="1"/>
  <c r="L4" i="1"/>
  <c r="K4" i="1"/>
  <c r="J4" i="1"/>
  <c r="I4" i="1"/>
  <c r="H4" i="1"/>
  <c r="G4" i="1"/>
  <c r="F4" i="1"/>
  <c r="E4" i="1"/>
  <c r="D4" i="1"/>
  <c r="C4" i="1"/>
  <c r="U22" i="1" l="1"/>
  <c r="T22" i="1"/>
  <c r="T97" i="1"/>
  <c r="T106" i="1"/>
  <c r="M105" i="1" s="1"/>
  <c r="T103" i="1"/>
  <c r="T100" i="1" s="1"/>
  <c r="N112" i="1"/>
  <c r="U16" i="1"/>
  <c r="T16" i="1"/>
  <c r="S16" i="1"/>
  <c r="T19" i="1"/>
  <c r="S19" i="1"/>
  <c r="T88" i="1"/>
  <c r="T92" i="1" s="1"/>
  <c r="T102" i="1" l="1"/>
  <c r="T105" i="1" s="1"/>
  <c r="T108" i="1" s="1"/>
  <c r="Q107" i="1" s="1"/>
  <c r="Q108" i="1" s="1"/>
  <c r="N105" i="1"/>
  <c r="U19" i="1"/>
  <c r="O105" i="1" l="1"/>
  <c r="P105" i="1" l="1"/>
  <c r="Q105" i="1" l="1"/>
  <c r="N110" i="1"/>
  <c r="N113" i="1" s="1"/>
  <c r="N115" i="1" s="1"/>
  <c r="N118" i="1" l="1"/>
  <c r="N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<sst xmlns="http://schemas.openxmlformats.org/spreadsheetml/2006/main" count="381" uniqueCount="167">
  <si>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</si>
  <si>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</si>
  <si>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</si>
  <si>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</si>
  <si>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</si>
  <si>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</si>
  <si>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</si>
  <si>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</si>
  <si>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</si>
  <si>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</si>
  <si>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</si>
  <si>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</si>
  <si>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</si>
  <si>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</si>
  <si>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</si>
  <si>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</si>
  <si>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</si>
  <si>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</si>
  <si>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</si>
  <si>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</si>
  <si>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</si>
  <si>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</si>
  <si>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</si>
  <si>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</si>
  <si>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</si>
  <si>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</si>
  <si>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</si>
  <si>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</si>
  <si>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</si>
  <si>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</si>
  <si>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</si>
  <si>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</si>
  <si>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</si>
  <si>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</si>
  <si>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</si>
  <si>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</si>
  <si>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</si>
  <si>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</si>
  <si>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</si>
  <si>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</si>
  <si>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</si>
  <si>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</si>
  <si>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</si>
  <si>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</si>
  <si>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</si>
  <si>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</si>
  <si>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</si>
  <si>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</si>
  <si>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</si>
  <si>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</si>
  <si>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</si>
  <si>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</si>
  <si>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</si>
  <si>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</si>
  <si>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</si>
  <si>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</si>
  <si>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</si>
  <si>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</si>
  <si>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</si>
  <si>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</si>
  <si>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</si>
  <si>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</si>
  <si>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</si>
  <si>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</si>
  <si>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</si>
  <si>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</si>
  <si>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</si>
  <si>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</si>
  <si>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</si>
  <si>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</si>
  <si>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</si>
  <si>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</si>
  <si>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</si>
  <si>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</si>
  <si>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</si>
  <si>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</si>
  <si>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</si>
  <si>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</si>
  <si>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</si>
  <si>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</si>
  <si>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</si>
  <si>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</si>
  <si>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</si>
  <si>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</si>
  <si>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</si>
  <si>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</si>
  <si>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</si>
  <si>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</si>
  <si>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</si>
  <si>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</si>
  <si>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</si>
  <si>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</si>
  <si>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</si>
  <si>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Levered FCF</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</si>
  <si>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</si>
  <si>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</si>
  <si>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</si>
  <si>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</si>
  <si>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</si>
  <si>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</si>
  <si>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</si>
  <si>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</si>
  <si>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</si>
  <si>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</si>
  <si>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</si>
  <si>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</si>
  <si>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</si>
  <si>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Unlevered FCF</t>
  </si>
  <si>
    <t>Unlevered FCF Proj</t>
  </si>
  <si>
    <t>WACC</t>
  </si>
  <si>
    <t>Levered FCF Growth YoY</t>
  </si>
  <si>
    <t>Unlevered FCF Forecast</t>
  </si>
  <si>
    <t>FCF Growth Rate</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</si>
  <si>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</si>
  <si>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</si>
  <si>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</si>
  <si>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</si>
  <si>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</si>
  <si>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</si>
  <si>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</si>
  <si>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</si>
  <si>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</si>
  <si>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</si>
  <si>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</si>
  <si>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</si>
  <si>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</si>
  <si>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</si>
  <si>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</si>
  <si>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</si>
  <si>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</si>
  <si>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Forward P/S</t>
  </si>
  <si>
    <t>Forward P/E</t>
  </si>
  <si>
    <t>Forward 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</si>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</sst>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0.0"/>
    <numFmt numFmtId="168" formatCode="&quot;$&quot;#,##0.00"/>
    <numFmt numFmtId="171"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sz val="12"/>
      <color rgb="FF000000"/>
      <name val="Calibri"/>
      <family val="2"/>
    </font>
    <font>
      <b/>
      <i/>
      <sz val="14"/>
      <color rgb="FF000000"/>
      <name val="Calibri"/>
      <family val="2"/>
    </font>
    <font>
      <b/>
      <sz val="16"/>
      <color rgb="FF000000"/>
      <name val="Calibri"/>
      <family val="2"/>
    </font>
    <font>
      <b/>
      <u/>
      <sz val="16"/>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2"/>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1" fillId="0" borderId="0" xfId="0" applyFont="1" applyAlignment="1">
      <alignment indent="1"/>
    </xf>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164" fontId="10" fillId="5" borderId="0" xfId="0" applyNumberFormat="1" applyFont="1" applyFill="1"/>
    <xf numFmtId="0" fontId="0" fillId="5" borderId="0" xfId="0" applyFill="1"/>
    <xf numFmtId="164" fontId="10" fillId="7" borderId="0" xfId="0" applyNumberFormat="1" applyFont="1" applyFill="1"/>
    <xf numFmtId="0" fontId="14" fillId="0" borderId="4" xfId="0" applyFont="1" applyBorder="1"/>
    <xf numFmtId="164" fontId="10" fillId="0" borderId="0" xfId="0" applyNumberFormat="1" applyFont="1"/>
    <xf numFmtId="9" fontId="11" fillId="0" borderId="9" xfId="0" applyNumberFormat="1" applyFont="1" applyBorder="1" applyAlignment="1">
      <alignment horizontal="center"/>
    </xf>
    <xf numFmtId="167" fontId="11" fillId="0" borderId="9" xfId="0" applyNumberFormat="1" applyFont="1" applyBorder="1" applyAlignment="1">
      <alignment horizontal="center"/>
    </xf>
    <xf numFmtId="167" fontId="11" fillId="0" borderId="5" xfId="0" applyNumberFormat="1" applyFont="1" applyBorder="1" applyAlignment="1">
      <alignment horizontal="center"/>
    </xf>
    <xf numFmtId="164" fontId="14" fillId="0" borderId="2" xfId="0" applyNumberFormat="1" applyFont="1" applyBorder="1"/>
    <xf numFmtId="164" fontId="1" fillId="0" borderId="6" xfId="0" applyNumberFormat="1" applyFont="1" applyBorder="1" applyAlignment="1">
      <alignment horizontal="center"/>
    </xf>
    <xf numFmtId="165" fontId="10" fillId="0" borderId="10" xfId="0" applyNumberFormat="1" applyFont="1" applyBorder="1"/>
    <xf numFmtId="164" fontId="14" fillId="0" borderId="3" xfId="0" applyNumberFormat="1" applyFont="1" applyBorder="1"/>
    <xf numFmtId="165" fontId="10" fillId="0" borderId="0" xfId="0" applyNumberFormat="1" applyFont="1"/>
    <xf numFmtId="166" fontId="10" fillId="0" borderId="0" xfId="0" applyNumberFormat="1" applyFont="1"/>
    <xf numFmtId="164" fontId="1" fillId="7" borderId="0" xfId="0" applyNumberFormat="1" applyFont="1" applyFill="1"/>
    <xf numFmtId="0" fontId="0" fillId="5" borderId="0" xfId="0" applyFill="1" applyAlignment="1">
      <alignment horizontal="left"/>
    </xf>
    <xf numFmtId="171" fontId="11" fillId="0" borderId="5" xfId="0" applyNumberFormat="1" applyFont="1" applyBorder="1" applyAlignment="1">
      <alignment horizontal="center"/>
    </xf>
    <xf numFmtId="171" fontId="11" fillId="0" borderId="8" xfId="0" applyNumberFormat="1" applyFont="1" applyBorder="1" applyAlignment="1">
      <alignment horizontal="center"/>
    </xf>
    <xf numFmtId="0" fontId="15" fillId="6" borderId="0" xfId="0" applyFont="1" applyFill="1" applyBorder="1" applyAlignment="1">
      <alignment horizontal="center"/>
    </xf>
    <xf numFmtId="0" fontId="16" fillId="6" borderId="0" xfId="0" applyFont="1" applyFill="1" applyBorder="1" applyAlignment="1">
      <alignment horizontal="center"/>
    </xf>
    <xf numFmtId="0" fontId="12" fillId="8" borderId="0" xfId="0" applyFont="1" applyFill="1" applyBorder="1" applyAlignment="1">
      <alignment horizontal="center" vertical="center" wrapText="1"/>
    </xf>
    <xf numFmtId="0" fontId="11" fillId="4" borderId="0" xfId="0" applyFont="1" applyFill="1" applyBorder="1" applyAlignment="1">
      <alignment horizontal="left" vertical="center" wrapText="1"/>
    </xf>
    <xf numFmtId="164" fontId="11" fillId="4" borderId="0" xfId="0" applyNumberFormat="1" applyFont="1" applyFill="1" applyBorder="1"/>
    <xf numFmtId="0" fontId="12" fillId="4" borderId="0" xfId="0" applyFont="1" applyFill="1" applyBorder="1" applyAlignment="1">
      <alignment horizontal="left" vertical="center" wrapText="1"/>
    </xf>
    <xf numFmtId="10" fontId="12" fillId="4" borderId="0" xfId="0" applyNumberFormat="1" applyFont="1" applyFill="1" applyBorder="1"/>
    <xf numFmtId="10" fontId="11" fillId="4" borderId="0" xfId="0" applyNumberFormat="1" applyFont="1" applyFill="1" applyBorder="1"/>
    <xf numFmtId="0" fontId="11" fillId="5" borderId="0" xfId="0" applyFont="1" applyFill="1" applyBorder="1" applyAlignment="1">
      <alignment horizontal="left" vertical="center" wrapText="1"/>
    </xf>
    <xf numFmtId="39" fontId="11" fillId="5" borderId="0" xfId="0" applyNumberFormat="1" applyFont="1" applyFill="1" applyBorder="1"/>
    <xf numFmtId="164" fontId="1" fillId="5" borderId="0" xfId="0" applyNumberFormat="1" applyFont="1" applyFill="1" applyBorder="1"/>
    <xf numFmtId="164" fontId="12" fillId="4" borderId="0" xfId="0" applyNumberFormat="1" applyFont="1" applyFill="1" applyBorder="1"/>
    <xf numFmtId="0" fontId="12" fillId="6" borderId="0" xfId="0" applyFont="1" applyFill="1" applyBorder="1" applyAlignment="1">
      <alignment horizontal="left" vertical="center" wrapText="1"/>
    </xf>
    <xf numFmtId="10" fontId="12" fillId="6" borderId="0" xfId="0" applyNumberFormat="1" applyFont="1" applyFill="1" applyBorder="1"/>
    <xf numFmtId="9" fontId="13" fillId="5" borderId="0" xfId="0" applyNumberFormat="1" applyFont="1" applyFill="1" applyBorder="1" applyAlignment="1">
      <alignment wrapText="1"/>
    </xf>
    <xf numFmtId="10" fontId="1" fillId="5" borderId="0" xfId="0" applyNumberFormat="1" applyFont="1" applyFill="1" applyBorder="1" applyAlignment="1">
      <alignment horizontal="right" vertical="center"/>
    </xf>
    <xf numFmtId="0" fontId="13" fillId="7" borderId="0" xfId="0" applyFont="1" applyFill="1" applyBorder="1" applyAlignment="1">
      <alignment wrapText="1"/>
    </xf>
    <xf numFmtId="10" fontId="1" fillId="7" borderId="0" xfId="0" applyNumberFormat="1" applyFont="1" applyFill="1" applyBorder="1" applyAlignment="1">
      <alignment horizontal="right" vertical="center"/>
    </xf>
    <xf numFmtId="0" fontId="13" fillId="5" borderId="0" xfId="0" applyFont="1" applyFill="1" applyBorder="1"/>
    <xf numFmtId="0" fontId="1" fillId="6" borderId="0" xfId="0" applyFont="1" applyFill="1" applyBorder="1" applyAlignment="1">
      <alignment horizontal="center"/>
    </xf>
    <xf numFmtId="164" fontId="1" fillId="5" borderId="0" xfId="0" applyNumberFormat="1" applyFont="1" applyFill="1" applyBorder="1" applyAlignment="1">
      <alignment wrapText="1"/>
    </xf>
    <xf numFmtId="164" fontId="1" fillId="6" borderId="0" xfId="0" applyNumberFormat="1" applyFont="1" applyFill="1" applyBorder="1" applyAlignment="1">
      <alignment wrapText="1"/>
    </xf>
    <xf numFmtId="168" fontId="12" fillId="6" borderId="0" xfId="0" applyNumberFormat="1" applyFont="1" applyFill="1" applyBorder="1"/>
    <xf numFmtId="168" fontId="1" fillId="5" borderId="0" xfId="0" applyNumberFormat="1" applyFont="1" applyFill="1" applyBorder="1"/>
    <xf numFmtId="9" fontId="12" fillId="6" borderId="0" xfId="1" applyFont="1" applyFill="1" applyBorder="1"/>
    <xf numFmtId="0" fontId="12" fillId="6" borderId="0" xfId="0" applyFont="1" applyFill="1" applyBorder="1" applyAlignment="1">
      <alignment horizontal="right"/>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ETSY</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775206611570254E-2"/>
          <c:y val="0.12988960886922482"/>
          <c:w val="0.87129917355371889"/>
          <c:h val="0.7339571851599893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1'!$B$3:$L$3</c:f>
              <c:numCache>
                <c:formatCode>#,###,,;\(#,###,,\);\ \-\ \-</c:formatCode>
                <c:ptCount val="11"/>
                <c:pt idx="0">
                  <c:v>74602000</c:v>
                </c:pt>
                <c:pt idx="1">
                  <c:v>125022000</c:v>
                </c:pt>
                <c:pt idx="2">
                  <c:v>195591000</c:v>
                </c:pt>
                <c:pt idx="3">
                  <c:v>273499000</c:v>
                </c:pt>
                <c:pt idx="4">
                  <c:v>364967000</c:v>
                </c:pt>
                <c:pt idx="5">
                  <c:v>441231000</c:v>
                </c:pt>
                <c:pt idx="6">
                  <c:v>603693000</c:v>
                </c:pt>
                <c:pt idx="7">
                  <c:v>818379000</c:v>
                </c:pt>
                <c:pt idx="8">
                  <c:v>1725625000</c:v>
                </c:pt>
                <c:pt idx="9">
                  <c:v>2329114000</c:v>
                </c:pt>
                <c:pt idx="10">
                  <c:v>2566111000</c:v>
                </c:pt>
              </c:numCache>
            </c:numRef>
          </c:val>
          <c:extLst>
            <c:ext xmlns:c16="http://schemas.microsoft.com/office/drawing/2014/chart" uri="{C3380CC4-5D6E-409C-BE32-E72D297353CC}">
              <c16:uniqueId val="{00000000-1F89-204E-B3E3-AABD06D2E6D8}"/>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1'!$B$28:$L$28</c:f>
              <c:numCache>
                <c:formatCode>#,###,,;\(#,###,,\);\ \-\ \-</c:formatCode>
                <c:ptCount val="11"/>
                <c:pt idx="0">
                  <c:v>-2385000</c:v>
                </c:pt>
                <c:pt idx="1">
                  <c:v>-796000</c:v>
                </c:pt>
                <c:pt idx="2">
                  <c:v>-15243000</c:v>
                </c:pt>
                <c:pt idx="3">
                  <c:v>-54063000</c:v>
                </c:pt>
                <c:pt idx="4">
                  <c:v>-29901000</c:v>
                </c:pt>
                <c:pt idx="5">
                  <c:v>81800000</c:v>
                </c:pt>
                <c:pt idx="6">
                  <c:v>77491000</c:v>
                </c:pt>
                <c:pt idx="7">
                  <c:v>95894000</c:v>
                </c:pt>
                <c:pt idx="8">
                  <c:v>349246000</c:v>
                </c:pt>
                <c:pt idx="9">
                  <c:v>493507000</c:v>
                </c:pt>
                <c:pt idx="10">
                  <c:v>-694288000</c:v>
                </c:pt>
              </c:numCache>
            </c:numRef>
          </c:val>
          <c:extLst>
            <c:ext xmlns:c16="http://schemas.microsoft.com/office/drawing/2014/chart" uri="{C3380CC4-5D6E-409C-BE32-E72D297353CC}">
              <c16:uniqueId val="{00000001-1F89-204E-B3E3-AABD06D2E6D8}"/>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1'!$B$107:$L$107</c:f>
              <c:numCache>
                <c:formatCode>#,###,,;\(#,###,,\);\ \-\ \-</c:formatCode>
                <c:ptCount val="11"/>
                <c:pt idx="0">
                  <c:v>-4262000</c:v>
                </c:pt>
                <c:pt idx="1">
                  <c:v>-530000</c:v>
                </c:pt>
                <c:pt idx="2">
                  <c:v>2503000</c:v>
                </c:pt>
                <c:pt idx="3">
                  <c:v>8376000</c:v>
                </c:pt>
                <c:pt idx="4">
                  <c:v>-991000</c:v>
                </c:pt>
                <c:pt idx="5">
                  <c:v>54264000</c:v>
                </c:pt>
                <c:pt idx="6">
                  <c:v>142875000</c:v>
                </c:pt>
                <c:pt idx="7">
                  <c:v>189679000</c:v>
                </c:pt>
                <c:pt idx="8">
                  <c:v>670966000</c:v>
                </c:pt>
                <c:pt idx="9">
                  <c:v>623381000</c:v>
                </c:pt>
                <c:pt idx="10">
                  <c:v>673375000</c:v>
                </c:pt>
              </c:numCache>
            </c:numRef>
          </c:val>
          <c:extLst>
            <c:ext xmlns:c16="http://schemas.microsoft.com/office/drawing/2014/chart" uri="{C3380CC4-5D6E-409C-BE32-E72D297353CC}">
              <c16:uniqueId val="{00000002-1F89-204E-B3E3-AABD06D2E6D8}"/>
            </c:ext>
          </c:extLst>
        </c:ser>
        <c:dLbls>
          <c:showLegendKey val="0"/>
          <c:showVal val="0"/>
          <c:showCatName val="0"/>
          <c:showSerName val="0"/>
          <c:showPercent val="0"/>
          <c:showBubbleSize val="0"/>
        </c:dLbls>
        <c:gapWidth val="100"/>
        <c:overlap val="-24"/>
        <c:axId val="1398782111"/>
        <c:axId val="1398660495"/>
      </c:barChart>
      <c:catAx>
        <c:axId val="139878211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98660495"/>
        <c:crosses val="autoZero"/>
        <c:auto val="1"/>
        <c:lblAlgn val="ctr"/>
        <c:lblOffset val="100"/>
        <c:noMultiLvlLbl val="0"/>
      </c:catAx>
      <c:valAx>
        <c:axId val="1398660495"/>
        <c:scaling>
          <c:orientation val="minMax"/>
          <c:min val="-60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398782111"/>
        <c:crosses val="autoZero"/>
        <c:crossBetween val="between"/>
      </c:valAx>
      <c:spPr>
        <a:noFill/>
        <a:ln>
          <a:noFill/>
        </a:ln>
        <a:effectLst/>
      </c:spPr>
    </c:plotArea>
    <c:legend>
      <c:legendPos val="b"/>
      <c:layout>
        <c:manualLayout>
          <c:xMode val="edge"/>
          <c:yMode val="edge"/>
          <c:x val="0.35104366499642092"/>
          <c:y val="0.91301838110008415"/>
          <c:w val="0.31378033448298304"/>
          <c:h val="5.4863850376719932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14</xdr:col>
      <xdr:colOff>15874</xdr:colOff>
      <xdr:row>108</xdr:row>
      <xdr:rowOff>33337</xdr:rowOff>
    </xdr:from>
    <xdr:to>
      <xdr:col>19</xdr:col>
      <xdr:colOff>1603374</xdr:colOff>
      <xdr:row>128</xdr:row>
      <xdr:rowOff>190499</xdr:rowOff>
    </xdr:to>
    <xdr:graphicFrame macro="">
      <xdr:nvGraphicFramePr>
        <xdr:cNvPr id="2" name="Chart 1">
          <a:extLst>
            <a:ext uri="{FF2B5EF4-FFF2-40B4-BE49-F238E27FC236}">
              <a16:creationId xmlns:a16="http://schemas.microsoft.com/office/drawing/2014/main" id="{AD19B9E0-C162-04D6-87B8-52486B7127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My Stocks"/>
      <sheetName val="Short List"/>
      <sheetName val="Stable Growth"/>
      <sheetName val="High Growth"/>
      <sheetName val="Small Caps"/>
      <sheetName val="Compounders"/>
      <sheetName val="Private Companies"/>
    </sheetNames>
    <sheetDataSet>
      <sheetData sheetId="0"/>
      <sheetData sheetId="1"/>
      <sheetData sheetId="2"/>
      <sheetData sheetId="3"/>
      <sheetData sheetId="4"/>
      <sheetData sheetId="5"/>
      <sheetData sheetId="6"/>
      <sheetData sheetId="7"/>
      <sheetData sheetId="8"/>
      <sheetData sheetId="9"/>
      <sheetData sheetId="10">
        <row r="8">
          <cell r="C8">
            <v>4.0480000000000002E-2</v>
          </cell>
        </row>
      </sheetData>
      <sheetData sheetId="11"/>
      <sheetData sheetId="12"/>
      <sheetData sheetId="13"/>
      <sheetData sheetId="14"/>
      <sheetData sheetId="15"/>
      <sheetData sheetId="16"/>
      <sheetData sheetId="17"/>
      <sheetData sheetId="18"/>
      <sheetData sheetId="19"/>
      <sheetData sheetId="20"/>
      <sheetData sheetId="2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https://www.bing.com/financeapi/forcetrigger?t=a1sar7&amp;q=XNAS%3aETSY&amp;form=skydnc</v>
    <v>Learn more on Bing</v>
  </rv>
  <rv s="1">
    <v>0</v>
    <v>ETSY, INC. (XNAS:ETSY)</v>
    <v>2</v>
    <v>3</v>
    <v>Finance</v>
    <v>4</v>
    <v>en-US</v>
    <v>a1sar7</v>
    <v>268435456</v>
    <v>1</v>
    <v>Powered by Refinitiv</v>
    <v>149.91</v>
    <v>78.239999999999995</v>
    <v>1.9853000000000001</v>
    <v>-0.15</v>
    <v>-1.8090000000000001E-3</v>
    <v>0</v>
    <v>0</v>
    <v>USD</v>
    <v>Etsy, Inc. (Etsy) operates two-sided online marketplaces that connect buyers and sellers around the world. The Company operates through four segments: Etsy, Reverb, Depop, and Elo7. The Company’s primary marketplace, Etsy.com, is the global destination for goods made by independent sellers. Its Reverb is a two-sided marketplace on the principle that buying and selling musical instruments should be easy. The Company’s Depop is dedicated to building a diverse and progressive home of fashion. Its Elo7, known as the Etsy of Brazil, specializes in custom and made-to-order merchandise. Its Elo7 marketplace includes items in over 40 retail categories. Its services include on-site advertising services, which allow Etsy sellers to pay for placement of its listings in search results, and shipping labels, which allow Etsy sellers in the United States, Canada, United Kingdom, Australia, and India to purchase discounted shipping labels.</v>
    <v>2790</v>
    <v>Nasdaq Stock Market</v>
    <v>XNAS</v>
    <v>XNAS</v>
    <v>117 Adams Street, BROOKLYN, NY, 11201 US</v>
    <v>83.929900000000004</v>
    <v>Diversified Retail</v>
    <v>Stock</v>
    <v>45114.997048217185</v>
    <v>0</v>
    <v>82.6</v>
    <v>10208600000</v>
    <v>ETSY, INC.</v>
    <v>ETSY, INC.</v>
    <v>83</v>
    <v>31.364899999999999</v>
    <v>82.91</v>
    <v>82.76</v>
    <v>82.76</v>
    <v>123351900</v>
    <v>ETSY</v>
    <v>ETSY, INC. (XNAS:ETSY)</v>
    <v>3143370</v>
    <v>3336357</v>
    <v>2006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370637/000137063716000032/0001370637-16-000032-index.htm" TargetMode="External"/><Relationship Id="rId13" Type="http://schemas.openxmlformats.org/officeDocument/2006/relationships/hyperlink" Target="https://www.sec.gov/Archives/edgar/data/1370637/000137063718000020/0001370637-18-000020-index.htm" TargetMode="External"/><Relationship Id="rId18" Type="http://schemas.openxmlformats.org/officeDocument/2006/relationships/hyperlink" Target="https://www.sec.gov/Archives/edgar/data/1370637/000137063721000012/0001370637-21-000012-index.htm" TargetMode="External"/><Relationship Id="rId26" Type="http://schemas.openxmlformats.org/officeDocument/2006/relationships/drawing" Target="../drawings/drawing1.xml"/><Relationship Id="rId3" Type="http://schemas.openxmlformats.org/officeDocument/2006/relationships/hyperlink" Target="https://sec.gov/" TargetMode="External"/><Relationship Id="rId21" Type="http://schemas.openxmlformats.org/officeDocument/2006/relationships/hyperlink" Target="https://www.sec.gov/Archives/edgar/data/1370637/000137063722000024/0001370637-22-000024-index.htm"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370637/000137063718000020/0001370637-18-000020-index.htm" TargetMode="External"/><Relationship Id="rId17" Type="http://schemas.openxmlformats.org/officeDocument/2006/relationships/hyperlink" Target="https://www.sec.gov/Archives/edgar/data/1370637/000137063720000046/0001370637-20-000046-index.htm" TargetMode="External"/><Relationship Id="rId25" Type="http://schemas.openxmlformats.org/officeDocument/2006/relationships/hyperlink" Target="https://finbox.com/NASDAQGS:ETSY/explorer/fcf_unlev_proj/"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370637/000137063720000046/0001370637-20-000046-index.htm" TargetMode="External"/><Relationship Id="rId20" Type="http://schemas.openxmlformats.org/officeDocument/2006/relationships/hyperlink" Target="https://www.sec.gov/Archives/edgar/data/1370637/000137063722000024/0001370637-22-000024-index.htm" TargetMode="External"/><Relationship Id="rId1" Type="http://schemas.openxmlformats.org/officeDocument/2006/relationships/hyperlink" Target="https://roic.ai/company/ETSY"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370637/000137063717000018/0001370637-17-000018-index.htm" TargetMode="External"/><Relationship Id="rId24" Type="http://schemas.openxmlformats.org/officeDocument/2006/relationships/hyperlink" Target="https://finbox.com/NASDAQGS:ETSY/explorer/revenue_proj/"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370637/000137063719000028/0001370637-19-000028-index.htm" TargetMode="External"/><Relationship Id="rId23" Type="http://schemas.openxmlformats.org/officeDocument/2006/relationships/hyperlink" Target="https://www.sec.gov/Archives/edgar/data/1370637/000137063723000017/0001370637-23-000017-index.htm" TargetMode="External"/><Relationship Id="rId10" Type="http://schemas.openxmlformats.org/officeDocument/2006/relationships/hyperlink" Target="https://www.sec.gov/Archives/edgar/data/1370637/000137063717000018/0001370637-17-000018-index.htm" TargetMode="External"/><Relationship Id="rId19" Type="http://schemas.openxmlformats.org/officeDocument/2006/relationships/hyperlink" Target="https://www.sec.gov/Archives/edgar/data/1370637/000137063721000012/0001370637-21-000012-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370637/000137063716000032/0001370637-16-000032-index.htm" TargetMode="External"/><Relationship Id="rId14" Type="http://schemas.openxmlformats.org/officeDocument/2006/relationships/hyperlink" Target="https://www.sec.gov/Archives/edgar/data/1370637/000137063719000028/0001370637-19-000028-index.htm" TargetMode="External"/><Relationship Id="rId22" Type="http://schemas.openxmlformats.org/officeDocument/2006/relationships/hyperlink" Target="https://www.sec.gov/Archives/edgar/data/1370637/000137063723000017/0001370637-23-000017-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18"/>
  <sheetViews>
    <sheetView tabSelected="1" zoomScale="80" zoomScaleNormal="80" workbookViewId="0">
      <pane xSplit="1" ySplit="1" topLeftCell="I2" activePane="bottomRight" state="frozen"/>
      <selection pane="topRight"/>
      <selection pane="bottomLeft"/>
      <selection pane="bottomRight" activeCell="N13" sqref="N13"/>
    </sheetView>
  </sheetViews>
  <sheetFormatPr baseColWidth="10" defaultRowHeight="16" x14ac:dyDescent="0.2"/>
  <cols>
    <col min="1" max="1" width="50" customWidth="1"/>
    <col min="2" max="12" width="15" customWidth="1"/>
    <col min="13" max="21" width="21" customWidth="1"/>
  </cols>
  <sheetData>
    <row r="1" spans="1:21" ht="22" thickBot="1" x14ac:dyDescent="0.3">
      <c r="A1" s="3" t="e" vm="1">
        <v>#VALUE!</v>
      </c>
      <c r="B1" s="8">
        <v>2012</v>
      </c>
      <c r="C1" s="8">
        <v>2013</v>
      </c>
      <c r="D1" s="8">
        <v>2014</v>
      </c>
      <c r="E1" s="8">
        <v>2015</v>
      </c>
      <c r="F1" s="8">
        <v>2016</v>
      </c>
      <c r="G1" s="8">
        <v>2017</v>
      </c>
      <c r="H1" s="8">
        <v>2018</v>
      </c>
      <c r="I1" s="8">
        <v>2019</v>
      </c>
      <c r="J1" s="8">
        <v>2020</v>
      </c>
      <c r="K1" s="8">
        <v>2021</v>
      </c>
      <c r="L1" s="8">
        <v>2022</v>
      </c>
      <c r="M1" s="27">
        <v>2023</v>
      </c>
      <c r="N1" s="27">
        <v>2024</v>
      </c>
      <c r="O1" s="27">
        <v>2025</v>
      </c>
      <c r="P1" s="27">
        <v>2026</v>
      </c>
      <c r="Q1" s="27">
        <v>2027</v>
      </c>
    </row>
    <row r="2" spans="1:21"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c r="Q2" s="9"/>
    </row>
    <row r="3" spans="1:21" ht="40" x14ac:dyDescent="0.25">
      <c r="A3" s="5" t="s">
        <v>1</v>
      </c>
      <c r="B3" s="1">
        <v>74602000</v>
      </c>
      <c r="C3" s="1">
        <v>125022000</v>
      </c>
      <c r="D3" s="1">
        <v>195591000</v>
      </c>
      <c r="E3" s="1">
        <v>273499000</v>
      </c>
      <c r="F3" s="1">
        <v>364967000</v>
      </c>
      <c r="G3" s="1">
        <v>441231000</v>
      </c>
      <c r="H3" s="1">
        <v>603693000</v>
      </c>
      <c r="I3" s="1">
        <v>818379000</v>
      </c>
      <c r="J3" s="1">
        <v>1725625000</v>
      </c>
      <c r="K3" s="1">
        <v>2329114000</v>
      </c>
      <c r="L3" s="1">
        <v>2566111000</v>
      </c>
      <c r="M3" s="28">
        <v>2764000000</v>
      </c>
      <c r="N3" s="28">
        <v>3050000000</v>
      </c>
      <c r="O3" s="28">
        <v>3408000000</v>
      </c>
      <c r="P3" s="28">
        <v>3738000000</v>
      </c>
      <c r="Q3" s="28">
        <v>4257000000</v>
      </c>
      <c r="R3" s="19" t="s">
        <v>113</v>
      </c>
      <c r="S3" s="20" t="s">
        <v>114</v>
      </c>
      <c r="T3" s="20" t="s">
        <v>115</v>
      </c>
      <c r="U3" s="20" t="s">
        <v>116</v>
      </c>
    </row>
    <row r="4" spans="1:21" ht="19" x14ac:dyDescent="0.25">
      <c r="A4" s="15" t="s">
        <v>94</v>
      </c>
      <c r="B4" s="1"/>
      <c r="C4" s="16">
        <f>(C3/B3)-1</f>
        <v>0.67585319428433555</v>
      </c>
      <c r="D4" s="16">
        <f>(D3/C3)-1</f>
        <v>0.56445265633248543</v>
      </c>
      <c r="E4" s="16">
        <f>(E3/D3)-1</f>
        <v>0.39832098613944411</v>
      </c>
      <c r="F4" s="16">
        <f t="shared" ref="F4:Q4" si="0">(F3/E3)-1</f>
        <v>0.33443632335035955</v>
      </c>
      <c r="G4" s="16">
        <f t="shared" si="0"/>
        <v>0.20896135815018901</v>
      </c>
      <c r="H4" s="17">
        <f t="shared" si="0"/>
        <v>0.36820169027108252</v>
      </c>
      <c r="I4" s="17">
        <f t="shared" si="0"/>
        <v>0.35562115181060583</v>
      </c>
      <c r="J4" s="17">
        <f t="shared" si="0"/>
        <v>1.1085890522606272</v>
      </c>
      <c r="K4" s="17">
        <f t="shared" si="0"/>
        <v>0.34972198478812033</v>
      </c>
      <c r="L4" s="17">
        <f t="shared" si="0"/>
        <v>0.10175414342106048</v>
      </c>
      <c r="M4" s="17">
        <f t="shared" si="0"/>
        <v>7.7116305569010946E-2</v>
      </c>
      <c r="N4" s="17">
        <f t="shared" si="0"/>
        <v>0.10347322720694652</v>
      </c>
      <c r="O4" s="17">
        <f t="shared" si="0"/>
        <v>0.11737704918032787</v>
      </c>
      <c r="P4" s="17">
        <f t="shared" si="0"/>
        <v>9.6830985915492995E-2</v>
      </c>
      <c r="Q4" s="17">
        <f t="shared" si="0"/>
        <v>0.13884430176564999</v>
      </c>
      <c r="R4" s="18">
        <f>(L4+K4+J4)/3</f>
        <v>0.5200217268232693</v>
      </c>
      <c r="S4" s="18">
        <f>(L20+K20+J20)/3</f>
        <v>8.2224839360221624E-2</v>
      </c>
      <c r="T4" s="18">
        <f>(L29+K29+J29)/3</f>
        <v>0.21607313106314016</v>
      </c>
      <c r="U4" s="18">
        <f>(L106+K106+J106)/3</f>
        <v>0.84888477113663929</v>
      </c>
    </row>
    <row r="5" spans="1:21" ht="19" x14ac:dyDescent="0.25">
      <c r="A5" s="5" t="s">
        <v>2</v>
      </c>
      <c r="B5" s="1">
        <v>24493000</v>
      </c>
      <c r="C5" s="1">
        <v>47779000</v>
      </c>
      <c r="D5" s="1">
        <v>73633000</v>
      </c>
      <c r="E5" s="1">
        <v>96979000</v>
      </c>
      <c r="F5" s="1">
        <v>123328000</v>
      </c>
      <c r="G5" s="1">
        <v>150986000</v>
      </c>
      <c r="H5" s="1">
        <v>190762000</v>
      </c>
      <c r="I5" s="1">
        <v>271036000</v>
      </c>
      <c r="J5" s="1">
        <v>464745000</v>
      </c>
      <c r="K5" s="1">
        <v>654512000</v>
      </c>
      <c r="L5" s="1">
        <v>744592000</v>
      </c>
    </row>
    <row r="6" spans="1:21" ht="20" x14ac:dyDescent="0.25">
      <c r="A6" s="6" t="s">
        <v>3</v>
      </c>
      <c r="B6" s="10">
        <v>50109000</v>
      </c>
      <c r="C6" s="10">
        <v>77243000</v>
      </c>
      <c r="D6" s="10">
        <v>121958000</v>
      </c>
      <c r="E6" s="10">
        <v>176520000</v>
      </c>
      <c r="F6" s="10">
        <v>241639000</v>
      </c>
      <c r="G6" s="10">
        <v>290245000</v>
      </c>
      <c r="H6" s="10">
        <v>412931000</v>
      </c>
      <c r="I6" s="10">
        <v>547343000</v>
      </c>
      <c r="J6" s="10">
        <v>1260880000</v>
      </c>
      <c r="K6" s="10">
        <v>1674602000</v>
      </c>
      <c r="L6" s="10">
        <v>1821519000</v>
      </c>
      <c r="R6" s="19" t="s">
        <v>117</v>
      </c>
      <c r="S6" s="20" t="s">
        <v>118</v>
      </c>
      <c r="T6" s="20" t="s">
        <v>119</v>
      </c>
      <c r="U6" s="20" t="s">
        <v>120</v>
      </c>
    </row>
    <row r="7" spans="1:21" ht="19" x14ac:dyDescent="0.25">
      <c r="A7" s="5" t="s">
        <v>4</v>
      </c>
      <c r="B7" s="2">
        <v>0.67169999999999996</v>
      </c>
      <c r="C7" s="2">
        <v>0.61780000000000002</v>
      </c>
      <c r="D7" s="2">
        <v>0.62350000000000005</v>
      </c>
      <c r="E7" s="2">
        <v>0.64539999999999997</v>
      </c>
      <c r="F7" s="2">
        <v>0.66210000000000002</v>
      </c>
      <c r="G7" s="2">
        <v>0.65780000000000005</v>
      </c>
      <c r="H7" s="2">
        <v>0.68400000000000005</v>
      </c>
      <c r="I7" s="2">
        <v>0.66879999999999995</v>
      </c>
      <c r="J7" s="2">
        <v>0.73070000000000002</v>
      </c>
      <c r="K7" s="2">
        <v>0.71899999999999997</v>
      </c>
      <c r="L7" s="2">
        <v>0.70979999999999999</v>
      </c>
      <c r="R7" s="18">
        <f>L7</f>
        <v>0.70979999999999999</v>
      </c>
      <c r="S7" s="21">
        <f>L21</f>
        <v>-0.21479999999999999</v>
      </c>
      <c r="T7" s="21">
        <f>L30</f>
        <v>-0.27060000000000001</v>
      </c>
      <c r="U7" s="21">
        <f>L107/L3</f>
        <v>0.2624107063178483</v>
      </c>
    </row>
    <row r="8" spans="1:21" ht="19" x14ac:dyDescent="0.25">
      <c r="A8" s="5" t="s">
        <v>5</v>
      </c>
      <c r="B8" s="1">
        <v>18653000</v>
      </c>
      <c r="C8" s="1">
        <v>27548000</v>
      </c>
      <c r="D8" s="1">
        <v>36634000</v>
      </c>
      <c r="E8" s="1">
        <v>42694000</v>
      </c>
      <c r="F8" s="1">
        <v>55083000</v>
      </c>
      <c r="G8" s="1">
        <v>74616000</v>
      </c>
      <c r="H8" s="1">
        <v>97249000</v>
      </c>
      <c r="I8" s="1">
        <v>121878000</v>
      </c>
      <c r="J8" s="1">
        <v>180080000</v>
      </c>
      <c r="K8" s="1">
        <v>271535000</v>
      </c>
      <c r="L8" s="1">
        <v>412398000</v>
      </c>
    </row>
    <row r="9" spans="1:21" ht="19" customHeight="1" x14ac:dyDescent="0.25">
      <c r="A9" s="15" t="s">
        <v>95</v>
      </c>
      <c r="B9" s="16">
        <f>B8/B3</f>
        <v>0.25003351116592049</v>
      </c>
      <c r="C9" s="16">
        <f t="shared" ref="C9:L9" si="1">C8/C3</f>
        <v>0.22034521924141351</v>
      </c>
      <c r="D9" s="16">
        <f t="shared" si="1"/>
        <v>0.18729900660050822</v>
      </c>
      <c r="E9" s="16">
        <f t="shared" si="1"/>
        <v>0.15610294735995378</v>
      </c>
      <c r="F9" s="16">
        <f t="shared" si="1"/>
        <v>0.15092597412916783</v>
      </c>
      <c r="G9" s="16">
        <f t="shared" si="1"/>
        <v>0.16910869816490681</v>
      </c>
      <c r="H9" s="16">
        <f t="shared" si="1"/>
        <v>0.16109015675185898</v>
      </c>
      <c r="I9" s="16">
        <f t="shared" si="1"/>
        <v>0.14892610880777732</v>
      </c>
      <c r="J9" s="16">
        <f t="shared" si="1"/>
        <v>0.10435639261137269</v>
      </c>
      <c r="K9" s="16">
        <f t="shared" si="1"/>
        <v>0.11658295815490353</v>
      </c>
      <c r="L9" s="16">
        <f t="shared" si="1"/>
        <v>0.16070933798265158</v>
      </c>
      <c r="R9" s="19" t="s">
        <v>96</v>
      </c>
      <c r="S9" s="20" t="s">
        <v>97</v>
      </c>
      <c r="T9" s="20" t="s">
        <v>98</v>
      </c>
      <c r="U9" s="20" t="s">
        <v>99</v>
      </c>
    </row>
    <row r="10" spans="1:21" ht="19" x14ac:dyDescent="0.25">
      <c r="A10" s="5" t="s">
        <v>6</v>
      </c>
      <c r="B10" s="1">
        <v>21909000</v>
      </c>
      <c r="C10" s="1">
        <v>31112000</v>
      </c>
      <c r="D10" s="1">
        <v>51920000</v>
      </c>
      <c r="E10" s="1">
        <v>68939000</v>
      </c>
      <c r="F10" s="1">
        <v>86180000</v>
      </c>
      <c r="G10" s="1">
        <v>91486000</v>
      </c>
      <c r="H10" s="1">
        <v>82883000</v>
      </c>
      <c r="I10" s="1">
        <v>121134000</v>
      </c>
      <c r="J10" s="1">
        <v>156035000</v>
      </c>
      <c r="K10" s="1">
        <v>282531000</v>
      </c>
      <c r="L10" s="1">
        <v>312260000</v>
      </c>
      <c r="R10" s="18">
        <f>L9</f>
        <v>0.16070933798265158</v>
      </c>
      <c r="S10" s="21">
        <f>L13</f>
        <v>0.39852484947065814</v>
      </c>
      <c r="T10" s="21">
        <f>L80</f>
        <v>8.9975842822075894E-2</v>
      </c>
      <c r="U10" s="21">
        <f>L89</f>
        <v>3.9893052171164848E-3</v>
      </c>
    </row>
    <row r="11" spans="1:21" ht="19" x14ac:dyDescent="0.25">
      <c r="A11" s="5" t="s">
        <v>7</v>
      </c>
      <c r="B11" s="1">
        <v>10902000</v>
      </c>
      <c r="C11" s="1">
        <v>17850000</v>
      </c>
      <c r="D11" s="1">
        <v>39655000</v>
      </c>
      <c r="E11" s="1">
        <v>66771000</v>
      </c>
      <c r="F11" s="1">
        <v>82799000</v>
      </c>
      <c r="G11" s="1">
        <v>109085000</v>
      </c>
      <c r="H11" s="1">
        <v>158013000</v>
      </c>
      <c r="I11" s="1">
        <v>215570000</v>
      </c>
      <c r="J11" s="1">
        <v>500756000</v>
      </c>
      <c r="K11" s="1">
        <v>654804000</v>
      </c>
      <c r="L11" s="1">
        <v>710399000</v>
      </c>
    </row>
    <row r="12" spans="1:21" ht="20" x14ac:dyDescent="0.25">
      <c r="A12" s="5" t="s">
        <v>8</v>
      </c>
      <c r="B12" s="1">
        <v>32811000</v>
      </c>
      <c r="C12" s="1">
        <v>48962000</v>
      </c>
      <c r="D12" s="1">
        <v>91575000</v>
      </c>
      <c r="E12" s="1">
        <v>135710000</v>
      </c>
      <c r="F12" s="1">
        <v>168979000</v>
      </c>
      <c r="G12" s="1">
        <v>200571000</v>
      </c>
      <c r="H12" s="1">
        <v>240896000</v>
      </c>
      <c r="I12" s="1">
        <v>336704000</v>
      </c>
      <c r="J12" s="1">
        <v>656791000</v>
      </c>
      <c r="K12" s="1">
        <v>937335000</v>
      </c>
      <c r="L12" s="1">
        <v>1022659000</v>
      </c>
      <c r="R12" s="19" t="s">
        <v>121</v>
      </c>
      <c r="S12" s="20" t="s">
        <v>122</v>
      </c>
      <c r="T12" s="20" t="s">
        <v>123</v>
      </c>
      <c r="U12" s="20" t="s">
        <v>124</v>
      </c>
    </row>
    <row r="13" spans="1:21" ht="19" x14ac:dyDescent="0.25">
      <c r="A13" s="15" t="s">
        <v>100</v>
      </c>
      <c r="B13" s="16">
        <f>B12/B3</f>
        <v>0.43981394600680945</v>
      </c>
      <c r="C13" s="16">
        <f t="shared" ref="C13:L13" si="2">C12/C3</f>
        <v>0.39162707363504023</v>
      </c>
      <c r="D13" s="16">
        <f t="shared" si="2"/>
        <v>0.46819638940442043</v>
      </c>
      <c r="E13" s="16">
        <f t="shared" si="2"/>
        <v>0.49619925484188243</v>
      </c>
      <c r="F13" s="16">
        <f t="shared" si="2"/>
        <v>0.46299802447892552</v>
      </c>
      <c r="G13" s="16">
        <f t="shared" si="2"/>
        <v>0.45457141497310932</v>
      </c>
      <c r="H13" s="16">
        <f t="shared" si="2"/>
        <v>0.3990372590041627</v>
      </c>
      <c r="I13" s="16">
        <f t="shared" si="2"/>
        <v>0.4114279569734805</v>
      </c>
      <c r="J13" s="16">
        <f t="shared" si="2"/>
        <v>0.38061050344078234</v>
      </c>
      <c r="K13" s="16">
        <f t="shared" si="2"/>
        <v>0.40244273144208487</v>
      </c>
      <c r="L13" s="16">
        <f t="shared" si="2"/>
        <v>0.39852484947065814</v>
      </c>
      <c r="R13" s="18">
        <f>L28/L72</f>
        <v>1.2686296078381214</v>
      </c>
      <c r="S13" s="21">
        <f>L28/L54</f>
        <v>-0.2634908068848078</v>
      </c>
      <c r="T13" s="21">
        <f>L22/(L72+L56+L61)</f>
        <v>-0.3573699964618981</v>
      </c>
      <c r="U13" s="22">
        <f>L67/L72</f>
        <v>-5.8147015937172242</v>
      </c>
    </row>
    <row r="14" spans="1:21" ht="19" x14ac:dyDescent="0.25">
      <c r="A14" s="5" t="s">
        <v>9</v>
      </c>
      <c r="B14" s="1" t="s">
        <v>91</v>
      </c>
      <c r="C14" s="1" t="s">
        <v>91</v>
      </c>
      <c r="D14" s="1" t="s">
        <v>91</v>
      </c>
      <c r="E14" s="1" t="s">
        <v>91</v>
      </c>
      <c r="F14" s="1" t="s">
        <v>91</v>
      </c>
      <c r="G14" s="1" t="s">
        <v>91</v>
      </c>
      <c r="H14" s="1" t="s">
        <v>91</v>
      </c>
      <c r="I14" s="1" t="s">
        <v>91</v>
      </c>
      <c r="J14" s="1" t="s">
        <v>91</v>
      </c>
      <c r="K14" s="1" t="s">
        <v>91</v>
      </c>
      <c r="L14" s="1">
        <v>300430000</v>
      </c>
    </row>
    <row r="15" spans="1:21" ht="20" x14ac:dyDescent="0.25">
      <c r="A15" s="5" t="s">
        <v>10</v>
      </c>
      <c r="B15" s="1">
        <v>51464000</v>
      </c>
      <c r="C15" s="1">
        <v>76510000</v>
      </c>
      <c r="D15" s="1">
        <v>128209000</v>
      </c>
      <c r="E15" s="1">
        <v>178404000</v>
      </c>
      <c r="F15" s="1">
        <v>224062000</v>
      </c>
      <c r="G15" s="1">
        <v>275187000</v>
      </c>
      <c r="H15" s="1">
        <v>338145000</v>
      </c>
      <c r="I15" s="1">
        <v>458582000</v>
      </c>
      <c r="J15" s="1">
        <v>836871000</v>
      </c>
      <c r="K15" s="1">
        <v>1208870000</v>
      </c>
      <c r="L15" s="1">
        <v>1735487000</v>
      </c>
      <c r="R15" s="19" t="s">
        <v>125</v>
      </c>
      <c r="S15" s="20" t="s">
        <v>126</v>
      </c>
      <c r="T15" s="20" t="s">
        <v>127</v>
      </c>
      <c r="U15" s="20" t="s">
        <v>128</v>
      </c>
    </row>
    <row r="16" spans="1:21" ht="19" x14ac:dyDescent="0.25">
      <c r="A16" s="5" t="s">
        <v>11</v>
      </c>
      <c r="B16" s="1">
        <v>75957000</v>
      </c>
      <c r="C16" s="1">
        <v>124289000</v>
      </c>
      <c r="D16" s="1">
        <v>201842000</v>
      </c>
      <c r="E16" s="1">
        <v>275383000</v>
      </c>
      <c r="F16" s="1">
        <v>347390000</v>
      </c>
      <c r="G16" s="1">
        <v>426173000</v>
      </c>
      <c r="H16" s="1">
        <v>528907000</v>
      </c>
      <c r="I16" s="1">
        <v>729618000</v>
      </c>
      <c r="J16" s="1">
        <v>1301616000</v>
      </c>
      <c r="K16" s="1">
        <v>1863382000</v>
      </c>
      <c r="L16" s="1">
        <v>2480079000</v>
      </c>
      <c r="R16" s="29">
        <f>(L35+K35+J35+I35+H35)/5</f>
        <v>1.0660615588119234E-2</v>
      </c>
      <c r="S16" s="30">
        <f>T101/L3</f>
        <v>3.9782378860462386</v>
      </c>
      <c r="T16" s="30">
        <f>T101/L28</f>
        <v>-14.703696448735972</v>
      </c>
      <c r="U16" s="31">
        <f>T101/L107</f>
        <v>15.160348988305179</v>
      </c>
    </row>
    <row r="17" spans="1:21" ht="19" x14ac:dyDescent="0.25">
      <c r="A17" s="5" t="s">
        <v>12</v>
      </c>
      <c r="B17" s="1">
        <v>486000</v>
      </c>
      <c r="C17" s="1">
        <v>302000</v>
      </c>
      <c r="D17" s="1">
        <v>590000</v>
      </c>
      <c r="E17" s="1">
        <v>1526000</v>
      </c>
      <c r="F17" s="1">
        <v>7204000</v>
      </c>
      <c r="G17" s="1">
        <v>11130000</v>
      </c>
      <c r="H17" s="1">
        <v>22178000</v>
      </c>
      <c r="I17" s="1">
        <v>24320000</v>
      </c>
      <c r="J17" s="1">
        <v>42025000</v>
      </c>
      <c r="K17" s="1">
        <v>9885000</v>
      </c>
      <c r="L17" s="1">
        <v>14168000</v>
      </c>
    </row>
    <row r="18" spans="1:21" ht="20" x14ac:dyDescent="0.25">
      <c r="A18" s="5" t="s">
        <v>13</v>
      </c>
      <c r="B18" s="1">
        <v>7930000</v>
      </c>
      <c r="C18" s="1">
        <v>12380000</v>
      </c>
      <c r="D18" s="1">
        <v>17223000</v>
      </c>
      <c r="E18" s="1">
        <v>18550000</v>
      </c>
      <c r="F18" s="1">
        <v>22525000</v>
      </c>
      <c r="G18" s="1">
        <v>27197000</v>
      </c>
      <c r="H18" s="1">
        <v>26742000</v>
      </c>
      <c r="I18" s="1">
        <v>48031000</v>
      </c>
      <c r="J18" s="1">
        <v>58189000</v>
      </c>
      <c r="K18" s="1">
        <v>74267000</v>
      </c>
      <c r="L18" s="1">
        <v>96702000</v>
      </c>
      <c r="R18" s="19" t="s">
        <v>129</v>
      </c>
      <c r="S18" s="20" t="s">
        <v>130</v>
      </c>
      <c r="T18" s="20" t="s">
        <v>131</v>
      </c>
      <c r="U18" s="20" t="s">
        <v>132</v>
      </c>
    </row>
    <row r="19" spans="1:21" ht="19" x14ac:dyDescent="0.25">
      <c r="A19" s="6" t="s">
        <v>14</v>
      </c>
      <c r="B19" s="10">
        <v>5886000</v>
      </c>
      <c r="C19" s="10">
        <v>12740000</v>
      </c>
      <c r="D19" s="10">
        <v>7553000</v>
      </c>
      <c r="E19" s="10">
        <v>-7918000</v>
      </c>
      <c r="F19" s="10">
        <v>26853000</v>
      </c>
      <c r="G19" s="10">
        <v>70592000</v>
      </c>
      <c r="H19" s="10">
        <v>103998000</v>
      </c>
      <c r="I19" s="10">
        <v>152997000</v>
      </c>
      <c r="J19" s="10">
        <v>465923000</v>
      </c>
      <c r="K19" s="10">
        <v>555806000</v>
      </c>
      <c r="L19" s="10">
        <v>-551108000</v>
      </c>
      <c r="M19" s="32">
        <v>759000000</v>
      </c>
      <c r="N19" s="32">
        <v>869000000</v>
      </c>
      <c r="O19" s="32">
        <v>1007000000</v>
      </c>
      <c r="P19" s="32">
        <v>1225000000</v>
      </c>
      <c r="Q19" s="32">
        <v>1425000000</v>
      </c>
      <c r="R19" s="33">
        <f>L40-L56-L61</f>
        <v>-1218379000</v>
      </c>
      <c r="S19" s="30">
        <f>T101/M3</f>
        <v>3.6934153400868306</v>
      </c>
      <c r="T19" s="30">
        <f>T101/M28</f>
        <v>16.721703521703521</v>
      </c>
      <c r="U19" s="31">
        <f>T101/M105</f>
        <v>16.306801059997138</v>
      </c>
    </row>
    <row r="20" spans="1:21" ht="19" customHeight="1" x14ac:dyDescent="0.25">
      <c r="A20" s="15" t="s">
        <v>101</v>
      </c>
      <c r="B20" s="1"/>
      <c r="C20" s="16">
        <f>(C19/B19)-1</f>
        <v>1.1644580360176691</v>
      </c>
      <c r="D20" s="16">
        <f>(D19/C19)-1</f>
        <v>-0.40714285714285714</v>
      </c>
      <c r="E20" s="16">
        <f>(E19/D19)-1</f>
        <v>-2.0483251688070965</v>
      </c>
      <c r="F20" s="16">
        <f t="shared" ref="F20:Q20" si="3">(F19/E19)-1</f>
        <v>-4.3913867138166207</v>
      </c>
      <c r="G20" s="16">
        <f t="shared" si="3"/>
        <v>1.6288310430864334</v>
      </c>
      <c r="H20" s="16">
        <f t="shared" si="3"/>
        <v>0.47322642792384406</v>
      </c>
      <c r="I20" s="16">
        <f t="shared" si="3"/>
        <v>0.47115329140945028</v>
      </c>
      <c r="J20" s="16">
        <f t="shared" si="3"/>
        <v>2.0453080779361685</v>
      </c>
      <c r="K20" s="16">
        <f t="shared" si="3"/>
        <v>0.19291385057187571</v>
      </c>
      <c r="L20" s="16">
        <f t="shared" si="3"/>
        <v>-1.9915474104273794</v>
      </c>
      <c r="M20" s="17">
        <f t="shared" si="3"/>
        <v>-2.377225516595658</v>
      </c>
      <c r="N20" s="17">
        <f t="shared" si="3"/>
        <v>0.14492753623188404</v>
      </c>
      <c r="O20" s="17">
        <f t="shared" si="3"/>
        <v>0.15880322209436137</v>
      </c>
      <c r="P20" s="17">
        <f t="shared" si="3"/>
        <v>0.2164846077457796</v>
      </c>
      <c r="Q20" s="17">
        <f t="shared" si="3"/>
        <v>0.16326530612244894</v>
      </c>
    </row>
    <row r="21" spans="1:21" ht="20" x14ac:dyDescent="0.25">
      <c r="A21" s="5" t="s">
        <v>15</v>
      </c>
      <c r="B21" s="2">
        <v>7.8899999999999998E-2</v>
      </c>
      <c r="C21" s="2">
        <v>0.1019</v>
      </c>
      <c r="D21" s="2">
        <v>3.8600000000000002E-2</v>
      </c>
      <c r="E21" s="2">
        <v>-2.9000000000000001E-2</v>
      </c>
      <c r="F21" s="2">
        <v>7.3599999999999999E-2</v>
      </c>
      <c r="G21" s="2">
        <v>0.16</v>
      </c>
      <c r="H21" s="2">
        <v>0.17230000000000001</v>
      </c>
      <c r="I21" s="2">
        <v>0.187</v>
      </c>
      <c r="J21" s="2">
        <v>0.27</v>
      </c>
      <c r="K21" s="2">
        <v>0.23860000000000001</v>
      </c>
      <c r="L21" s="2">
        <v>-0.21479999999999999</v>
      </c>
      <c r="M21" s="34">
        <f>M19/M3</f>
        <v>0.27460202604920403</v>
      </c>
      <c r="N21" s="34">
        <f t="shared" ref="N21:Q21" si="4">N19/N3</f>
        <v>0.28491803278688527</v>
      </c>
      <c r="O21" s="34">
        <f t="shared" si="4"/>
        <v>0.295481220657277</v>
      </c>
      <c r="P21" s="34">
        <f t="shared" si="4"/>
        <v>0.32771535580524347</v>
      </c>
      <c r="Q21" s="34">
        <f t="shared" si="4"/>
        <v>0.3347427766032417</v>
      </c>
      <c r="T21" s="19" t="s">
        <v>165</v>
      </c>
      <c r="U21" s="20" t="s">
        <v>166</v>
      </c>
    </row>
    <row r="22" spans="1:21" ht="19" x14ac:dyDescent="0.25">
      <c r="A22" s="6" t="s">
        <v>16</v>
      </c>
      <c r="B22" s="10">
        <v>-1355000</v>
      </c>
      <c r="C22" s="10">
        <v>733000</v>
      </c>
      <c r="D22" s="10">
        <v>-6251000</v>
      </c>
      <c r="E22" s="10">
        <v>-1884000</v>
      </c>
      <c r="F22" s="10">
        <v>17577000</v>
      </c>
      <c r="G22" s="10">
        <v>11896000</v>
      </c>
      <c r="H22" s="10">
        <v>74786000</v>
      </c>
      <c r="I22" s="10">
        <v>88761000</v>
      </c>
      <c r="J22" s="10">
        <v>424009000</v>
      </c>
      <c r="K22" s="10">
        <v>465732000</v>
      </c>
      <c r="L22" s="10">
        <v>-658560000</v>
      </c>
      <c r="T22" s="40">
        <f>(-1*L98)/T101</f>
        <v>0</v>
      </c>
      <c r="U22" s="41">
        <f>L107/T101</f>
        <v>6.5961542229100958E-2</v>
      </c>
    </row>
    <row r="23" spans="1:21" ht="19" x14ac:dyDescent="0.25">
      <c r="A23" s="5" t="s">
        <v>17</v>
      </c>
      <c r="B23" s="2">
        <v>-1.8200000000000001E-2</v>
      </c>
      <c r="C23" s="2">
        <v>5.8999999999999999E-3</v>
      </c>
      <c r="D23" s="2">
        <v>-3.2000000000000001E-2</v>
      </c>
      <c r="E23" s="2">
        <v>-6.8999999999999999E-3</v>
      </c>
      <c r="F23" s="2">
        <v>4.82E-2</v>
      </c>
      <c r="G23" s="2">
        <v>2.7E-2</v>
      </c>
      <c r="H23" s="2">
        <v>0.1239</v>
      </c>
      <c r="I23" s="2">
        <v>0.1085</v>
      </c>
      <c r="J23" s="2">
        <v>0.2457</v>
      </c>
      <c r="K23" s="2">
        <v>0.2</v>
      </c>
      <c r="L23" s="2">
        <v>-0.25659999999999999</v>
      </c>
    </row>
    <row r="24" spans="1:21" ht="19" x14ac:dyDescent="0.25">
      <c r="A24" s="5" t="s">
        <v>18</v>
      </c>
      <c r="B24" s="1">
        <v>-1175000</v>
      </c>
      <c r="C24" s="1">
        <v>-675000</v>
      </c>
      <c r="D24" s="1">
        <v>-4009000</v>
      </c>
      <c r="E24" s="1">
        <v>-26110000</v>
      </c>
      <c r="F24" s="1">
        <v>-20453000</v>
      </c>
      <c r="G24" s="1">
        <v>20369000</v>
      </c>
      <c r="H24" s="1">
        <v>-19708000</v>
      </c>
      <c r="I24" s="1">
        <v>-8115000</v>
      </c>
      <c r="J24" s="1">
        <v>-58300000</v>
      </c>
      <c r="K24" s="1">
        <v>5922000</v>
      </c>
      <c r="L24" s="1">
        <v>-3418000</v>
      </c>
    </row>
    <row r="25" spans="1:21" ht="19" x14ac:dyDescent="0.25">
      <c r="A25" s="6" t="s">
        <v>19</v>
      </c>
      <c r="B25" s="10">
        <v>-2530000</v>
      </c>
      <c r="C25" s="10">
        <v>58000</v>
      </c>
      <c r="D25" s="10">
        <v>-10260000</v>
      </c>
      <c r="E25" s="10">
        <v>-27994000</v>
      </c>
      <c r="F25" s="10">
        <v>-2876000</v>
      </c>
      <c r="G25" s="10">
        <v>32265000</v>
      </c>
      <c r="H25" s="10">
        <v>55078000</v>
      </c>
      <c r="I25" s="10">
        <v>80646000</v>
      </c>
      <c r="J25" s="10">
        <v>365709000</v>
      </c>
      <c r="K25" s="10">
        <v>471654000</v>
      </c>
      <c r="L25" s="10">
        <v>-661978000</v>
      </c>
    </row>
    <row r="26" spans="1:21" ht="19" x14ac:dyDescent="0.25">
      <c r="A26" s="5" t="s">
        <v>20</v>
      </c>
      <c r="B26" s="2">
        <v>-3.39E-2</v>
      </c>
      <c r="C26" s="2">
        <v>5.0000000000000001E-4</v>
      </c>
      <c r="D26" s="2">
        <v>-5.2499999999999998E-2</v>
      </c>
      <c r="E26" s="2">
        <v>-0.1024</v>
      </c>
      <c r="F26" s="2">
        <v>-7.9000000000000008E-3</v>
      </c>
      <c r="G26" s="2">
        <v>7.3099999999999998E-2</v>
      </c>
      <c r="H26" s="2">
        <v>9.1200000000000003E-2</v>
      </c>
      <c r="I26" s="2">
        <v>9.8500000000000004E-2</v>
      </c>
      <c r="J26" s="2">
        <v>0.21190000000000001</v>
      </c>
      <c r="K26" s="2">
        <v>0.20250000000000001</v>
      </c>
      <c r="L26" s="2">
        <v>-0.25800000000000001</v>
      </c>
    </row>
    <row r="27" spans="1:21" ht="19" x14ac:dyDescent="0.25">
      <c r="A27" s="5" t="s">
        <v>21</v>
      </c>
      <c r="B27" s="1">
        <v>-145000</v>
      </c>
      <c r="C27" s="1">
        <v>854000</v>
      </c>
      <c r="D27" s="1">
        <v>4983000</v>
      </c>
      <c r="E27" s="1">
        <v>26069000</v>
      </c>
      <c r="F27" s="1">
        <v>27025000</v>
      </c>
      <c r="G27" s="1">
        <v>-49535000</v>
      </c>
      <c r="H27" s="1">
        <v>-22413000</v>
      </c>
      <c r="I27" s="1">
        <v>-15248000</v>
      </c>
      <c r="J27" s="1">
        <v>16463000</v>
      </c>
      <c r="K27" s="1">
        <v>-21853000</v>
      </c>
      <c r="L27" s="1">
        <v>32310000</v>
      </c>
    </row>
    <row r="28" spans="1:21" ht="20" thickBot="1" x14ac:dyDescent="0.3">
      <c r="A28" s="7" t="s">
        <v>22</v>
      </c>
      <c r="B28" s="11">
        <v>-2385000</v>
      </c>
      <c r="C28" s="11">
        <v>-796000</v>
      </c>
      <c r="D28" s="11">
        <v>-15243000</v>
      </c>
      <c r="E28" s="11">
        <v>-54063000</v>
      </c>
      <c r="F28" s="11">
        <v>-29901000</v>
      </c>
      <c r="G28" s="11">
        <v>81800000</v>
      </c>
      <c r="H28" s="11">
        <v>77491000</v>
      </c>
      <c r="I28" s="11">
        <v>95894000</v>
      </c>
      <c r="J28" s="11">
        <v>349246000</v>
      </c>
      <c r="K28" s="11">
        <v>493507000</v>
      </c>
      <c r="L28" s="11">
        <v>-694288000</v>
      </c>
      <c r="M28" s="35">
        <v>610500000</v>
      </c>
      <c r="N28" s="35">
        <v>698600000</v>
      </c>
      <c r="O28" s="35">
        <v>776300000</v>
      </c>
      <c r="P28" s="35">
        <v>918700000</v>
      </c>
      <c r="Q28" s="35">
        <v>1014000000</v>
      </c>
    </row>
    <row r="29" spans="1:21" ht="20" customHeight="1" thickTop="1" x14ac:dyDescent="0.25">
      <c r="A29" s="15" t="s">
        <v>102</v>
      </c>
      <c r="B29" s="1"/>
      <c r="C29" s="16">
        <f>(C28/B28)-1</f>
        <v>-0.66624737945492662</v>
      </c>
      <c r="D29" s="16">
        <f>(D28/C28)-1</f>
        <v>18.149497487437184</v>
      </c>
      <c r="E29" s="16">
        <f>(E28/D28)-1</f>
        <v>2.5467427671718164</v>
      </c>
      <c r="F29" s="16">
        <f t="shared" ref="F29:Q29" si="5">(F28/E28)-1</f>
        <v>-0.44692303423783364</v>
      </c>
      <c r="G29" s="16">
        <f t="shared" si="5"/>
        <v>-3.7356944583793186</v>
      </c>
      <c r="H29" s="16">
        <f t="shared" si="5"/>
        <v>-5.2677261613691906E-2</v>
      </c>
      <c r="I29" s="16">
        <f t="shared" si="5"/>
        <v>0.23748564349408308</v>
      </c>
      <c r="J29" s="16">
        <f t="shared" si="5"/>
        <v>2.6420005422654183</v>
      </c>
      <c r="K29" s="16">
        <f t="shared" si="5"/>
        <v>0.41306414389857005</v>
      </c>
      <c r="L29" s="16">
        <f t="shared" si="5"/>
        <v>-2.4068452929745678</v>
      </c>
      <c r="M29" s="17">
        <f t="shared" si="5"/>
        <v>-1.8793180927799416</v>
      </c>
      <c r="N29" s="17">
        <f t="shared" si="5"/>
        <v>0.14430794430794425</v>
      </c>
      <c r="O29" s="17">
        <f t="shared" si="5"/>
        <v>0.11122244488977961</v>
      </c>
      <c r="P29" s="17">
        <f t="shared" si="5"/>
        <v>0.1834342393404611</v>
      </c>
      <c r="Q29" s="17">
        <f t="shared" si="5"/>
        <v>0.1037335365189942</v>
      </c>
    </row>
    <row r="30" spans="1:21" ht="19" x14ac:dyDescent="0.25">
      <c r="A30" s="5" t="s">
        <v>23</v>
      </c>
      <c r="B30" s="2">
        <v>-3.2000000000000001E-2</v>
      </c>
      <c r="C30" s="2">
        <v>-6.4000000000000003E-3</v>
      </c>
      <c r="D30" s="2">
        <v>-7.7899999999999997E-2</v>
      </c>
      <c r="E30" s="2">
        <v>-0.19769999999999999</v>
      </c>
      <c r="F30" s="2">
        <v>-8.1900000000000001E-2</v>
      </c>
      <c r="G30" s="2">
        <v>0.18540000000000001</v>
      </c>
      <c r="H30" s="2">
        <v>0.12839999999999999</v>
      </c>
      <c r="I30" s="2">
        <v>0.1172</v>
      </c>
      <c r="J30" s="2">
        <v>0.2024</v>
      </c>
      <c r="K30" s="2">
        <v>0.21190000000000001</v>
      </c>
      <c r="L30" s="2">
        <v>-0.27060000000000001</v>
      </c>
      <c r="M30" s="36">
        <f>M28/M3</f>
        <v>0.22087554269175108</v>
      </c>
      <c r="N30" s="36">
        <f t="shared" ref="N30:Q30" si="6">N28/N3</f>
        <v>0.22904918032786886</v>
      </c>
      <c r="O30" s="36">
        <f t="shared" si="6"/>
        <v>0.22778755868544601</v>
      </c>
      <c r="P30" s="36">
        <f t="shared" si="6"/>
        <v>0.24577314071696094</v>
      </c>
      <c r="Q30" s="36">
        <f t="shared" si="6"/>
        <v>0.23819591261451725</v>
      </c>
    </row>
    <row r="31" spans="1:21" ht="19" x14ac:dyDescent="0.25">
      <c r="A31" s="5" t="s">
        <v>24</v>
      </c>
      <c r="B31" s="12">
        <v>-0.03</v>
      </c>
      <c r="C31" s="12">
        <v>-0.01</v>
      </c>
      <c r="D31" s="12">
        <v>-0.16</v>
      </c>
      <c r="E31" s="12">
        <v>-0.59</v>
      </c>
      <c r="F31" s="12">
        <v>-0.26</v>
      </c>
      <c r="G31" s="12">
        <v>0.69</v>
      </c>
      <c r="H31" s="12">
        <v>0.64</v>
      </c>
      <c r="I31" s="12">
        <v>0.8</v>
      </c>
      <c r="J31" s="12">
        <v>2.88</v>
      </c>
      <c r="K31" s="12">
        <v>3.88</v>
      </c>
      <c r="L31" s="12">
        <v>-5.48</v>
      </c>
      <c r="M31" s="37">
        <v>4.95</v>
      </c>
      <c r="N31" s="37">
        <v>5.66</v>
      </c>
      <c r="O31" s="37">
        <v>6.29</v>
      </c>
      <c r="P31" s="37">
        <v>7.45</v>
      </c>
      <c r="Q31" s="37">
        <v>8.2200000000000006</v>
      </c>
    </row>
    <row r="32" spans="1:21" ht="19" x14ac:dyDescent="0.25">
      <c r="A32" s="5" t="s">
        <v>25</v>
      </c>
      <c r="B32" s="12">
        <v>-0.03</v>
      </c>
      <c r="C32" s="12">
        <v>-0.01</v>
      </c>
      <c r="D32" s="12">
        <v>-0.16</v>
      </c>
      <c r="E32" s="12">
        <v>-0.59</v>
      </c>
      <c r="F32" s="12">
        <v>-0.26</v>
      </c>
      <c r="G32" s="12">
        <v>0.68</v>
      </c>
      <c r="H32" s="12">
        <v>0.61</v>
      </c>
      <c r="I32" s="12">
        <v>0.76</v>
      </c>
      <c r="J32" s="12">
        <v>2.69</v>
      </c>
      <c r="K32" s="12">
        <v>3.4</v>
      </c>
      <c r="L32" s="12">
        <v>-5.48</v>
      </c>
    </row>
    <row r="33" spans="1:12" ht="19" x14ac:dyDescent="0.25">
      <c r="A33" s="5" t="s">
        <v>26</v>
      </c>
      <c r="B33" s="1">
        <v>93694906</v>
      </c>
      <c r="C33" s="1">
        <v>93694906</v>
      </c>
      <c r="D33" s="1">
        <v>93694906</v>
      </c>
      <c r="E33" s="1">
        <v>91122291</v>
      </c>
      <c r="F33" s="1">
        <v>113562738</v>
      </c>
      <c r="G33" s="1">
        <v>118538687</v>
      </c>
      <c r="H33" s="1">
        <v>120146076</v>
      </c>
      <c r="I33" s="1">
        <v>119665248</v>
      </c>
      <c r="J33" s="1">
        <v>121251588</v>
      </c>
      <c r="K33" s="1">
        <v>127224974</v>
      </c>
      <c r="L33" s="1">
        <v>126778626</v>
      </c>
    </row>
    <row r="34" spans="1:12" ht="19" x14ac:dyDescent="0.25">
      <c r="A34" s="5" t="s">
        <v>27</v>
      </c>
      <c r="B34" s="1">
        <v>93694906</v>
      </c>
      <c r="C34" s="1">
        <v>93694906</v>
      </c>
      <c r="D34" s="1">
        <v>93694906</v>
      </c>
      <c r="E34" s="1">
        <v>91122291</v>
      </c>
      <c r="F34" s="1">
        <v>113562738</v>
      </c>
      <c r="G34" s="1">
        <v>122267673</v>
      </c>
      <c r="H34" s="1">
        <v>127084785</v>
      </c>
      <c r="I34" s="1">
        <v>125720073</v>
      </c>
      <c r="J34" s="1">
        <v>136414592</v>
      </c>
      <c r="K34" s="1">
        <v>146683324</v>
      </c>
      <c r="L34" s="1">
        <v>126778626</v>
      </c>
    </row>
    <row r="35" spans="1:12" ht="20" customHeight="1" x14ac:dyDescent="0.25">
      <c r="A35" s="15" t="s">
        <v>103</v>
      </c>
      <c r="B35" s="1"/>
      <c r="C35" s="23">
        <f>(C34-B34)/B34</f>
        <v>0</v>
      </c>
      <c r="D35" s="23">
        <f t="shared" ref="D35:L35" si="7">(D34-C34)/C34</f>
        <v>0</v>
      </c>
      <c r="E35" s="23">
        <f t="shared" si="7"/>
        <v>-2.7457362516591883E-2</v>
      </c>
      <c r="F35" s="23">
        <f t="shared" si="7"/>
        <v>0.24626737051639758</v>
      </c>
      <c r="G35" s="23">
        <f t="shared" si="7"/>
        <v>7.665309196754308E-2</v>
      </c>
      <c r="H35" s="23">
        <f t="shared" si="7"/>
        <v>3.939808358011361E-2</v>
      </c>
      <c r="I35" s="23">
        <f t="shared" si="7"/>
        <v>-1.0738594710609929E-2</v>
      </c>
      <c r="J35" s="23">
        <f t="shared" si="7"/>
        <v>8.5066121461765301E-2</v>
      </c>
      <c r="K35" s="23">
        <f t="shared" si="7"/>
        <v>7.5275905967596188E-2</v>
      </c>
      <c r="L35" s="23">
        <f t="shared" si="7"/>
        <v>-0.135698438358269</v>
      </c>
    </row>
    <row r="36" spans="1:12" ht="19" x14ac:dyDescent="0.25">
      <c r="A36" s="5" t="s">
        <v>28</v>
      </c>
      <c r="B36" s="13" t="s">
        <v>92</v>
      </c>
      <c r="C36" s="13" t="s">
        <v>92</v>
      </c>
      <c r="D36" s="13" t="s">
        <v>92</v>
      </c>
      <c r="E36" s="13" t="s">
        <v>92</v>
      </c>
      <c r="F36" s="13" t="s">
        <v>92</v>
      </c>
      <c r="G36" s="13" t="s">
        <v>92</v>
      </c>
      <c r="H36" s="13" t="s">
        <v>92</v>
      </c>
      <c r="I36" s="13" t="s">
        <v>92</v>
      </c>
      <c r="J36" s="13" t="s">
        <v>92</v>
      </c>
      <c r="K36" s="13" t="s">
        <v>92</v>
      </c>
      <c r="L36" s="13" t="s">
        <v>92</v>
      </c>
    </row>
    <row r="37" spans="1:12" ht="21" x14ac:dyDescent="0.25">
      <c r="A37" s="4" t="s">
        <v>29</v>
      </c>
      <c r="B37" s="9" t="s">
        <v>90</v>
      </c>
      <c r="C37" s="9" t="s">
        <v>90</v>
      </c>
      <c r="D37" s="9" t="s">
        <v>90</v>
      </c>
      <c r="E37" s="9" t="s">
        <v>90</v>
      </c>
      <c r="F37" s="9" t="s">
        <v>90</v>
      </c>
      <c r="G37" s="9" t="s">
        <v>90</v>
      </c>
      <c r="H37" s="9" t="s">
        <v>90</v>
      </c>
      <c r="I37" s="9" t="s">
        <v>90</v>
      </c>
      <c r="J37" s="9" t="s">
        <v>90</v>
      </c>
      <c r="K37" s="9" t="s">
        <v>90</v>
      </c>
      <c r="L37" s="9" t="s">
        <v>90</v>
      </c>
    </row>
    <row r="38" spans="1:12" ht="19" x14ac:dyDescent="0.25">
      <c r="A38" s="5" t="s">
        <v>30</v>
      </c>
      <c r="B38" s="1" t="s">
        <v>91</v>
      </c>
      <c r="C38" s="1">
        <v>36795000</v>
      </c>
      <c r="D38" s="1">
        <v>69659000</v>
      </c>
      <c r="E38" s="1">
        <v>271244000</v>
      </c>
      <c r="F38" s="1">
        <v>181592000</v>
      </c>
      <c r="G38" s="1">
        <v>315442000</v>
      </c>
      <c r="H38" s="1">
        <v>366985000</v>
      </c>
      <c r="I38" s="1">
        <v>443293000</v>
      </c>
      <c r="J38" s="1">
        <v>1244099000</v>
      </c>
      <c r="K38" s="1">
        <v>780196000</v>
      </c>
      <c r="L38" s="1">
        <v>921278000</v>
      </c>
    </row>
    <row r="39" spans="1:12" ht="19" x14ac:dyDescent="0.25">
      <c r="A39" s="5" t="s">
        <v>31</v>
      </c>
      <c r="B39" s="1" t="s">
        <v>91</v>
      </c>
      <c r="C39" s="1">
        <v>18075000</v>
      </c>
      <c r="D39" s="1">
        <v>19184000</v>
      </c>
      <c r="E39" s="1">
        <v>21620000</v>
      </c>
      <c r="F39" s="1">
        <v>100494000</v>
      </c>
      <c r="G39" s="1">
        <v>25108000</v>
      </c>
      <c r="H39" s="1">
        <v>257302000</v>
      </c>
      <c r="I39" s="1">
        <v>373959000</v>
      </c>
      <c r="J39" s="1">
        <v>425119000</v>
      </c>
      <c r="K39" s="1">
        <v>204416000</v>
      </c>
      <c r="L39" s="1">
        <v>250413000</v>
      </c>
    </row>
    <row r="40" spans="1:12" ht="19" x14ac:dyDescent="0.25">
      <c r="A40" s="5" t="s">
        <v>32</v>
      </c>
      <c r="B40" s="1" t="s">
        <v>91</v>
      </c>
      <c r="C40" s="1">
        <v>54870000</v>
      </c>
      <c r="D40" s="1">
        <v>88843000</v>
      </c>
      <c r="E40" s="1">
        <v>292864000</v>
      </c>
      <c r="F40" s="1">
        <v>282086000</v>
      </c>
      <c r="G40" s="1">
        <v>340550000</v>
      </c>
      <c r="H40" s="1">
        <v>624287000</v>
      </c>
      <c r="I40" s="1">
        <v>817252000</v>
      </c>
      <c r="J40" s="1">
        <v>1669218000</v>
      </c>
      <c r="K40" s="1">
        <v>984612000</v>
      </c>
      <c r="L40" s="1">
        <v>1171691000</v>
      </c>
    </row>
    <row r="41" spans="1:12" ht="19" x14ac:dyDescent="0.25">
      <c r="A41" s="5" t="s">
        <v>33</v>
      </c>
      <c r="B41" s="1" t="s">
        <v>91</v>
      </c>
      <c r="C41" s="1">
        <v>16392000</v>
      </c>
      <c r="D41" s="1">
        <v>25977000</v>
      </c>
      <c r="E41" s="1">
        <v>39537000</v>
      </c>
      <c r="F41" s="1">
        <v>56243000</v>
      </c>
      <c r="G41" s="1">
        <v>78335000</v>
      </c>
      <c r="H41" s="1">
        <v>33316000</v>
      </c>
      <c r="I41" s="1">
        <v>65172000</v>
      </c>
      <c r="J41" s="1">
        <v>169411000</v>
      </c>
      <c r="K41" s="1">
        <v>247472000</v>
      </c>
      <c r="L41" s="1">
        <v>261849000</v>
      </c>
    </row>
    <row r="42" spans="1:12" ht="19" x14ac:dyDescent="0.25">
      <c r="A42" s="5" t="s">
        <v>34</v>
      </c>
      <c r="B42" s="1" t="s">
        <v>91</v>
      </c>
      <c r="C42" s="1" t="s">
        <v>91</v>
      </c>
      <c r="D42" s="1" t="s">
        <v>91</v>
      </c>
      <c r="E42" s="1" t="s">
        <v>91</v>
      </c>
      <c r="F42" s="1" t="s">
        <v>91</v>
      </c>
      <c r="G42" s="1" t="s">
        <v>91</v>
      </c>
      <c r="H42" s="1" t="s">
        <v>91</v>
      </c>
      <c r="I42" s="1" t="s">
        <v>91</v>
      </c>
      <c r="J42" s="1" t="s">
        <v>91</v>
      </c>
      <c r="K42" s="1" t="s">
        <v>91</v>
      </c>
      <c r="L42" s="1" t="s">
        <v>91</v>
      </c>
    </row>
    <row r="43" spans="1:12" ht="19" x14ac:dyDescent="0.25">
      <c r="A43" s="5" t="s">
        <v>35</v>
      </c>
      <c r="B43" s="1" t="s">
        <v>91</v>
      </c>
      <c r="C43" s="1">
        <v>5523000</v>
      </c>
      <c r="D43" s="1">
        <v>15173000</v>
      </c>
      <c r="E43" s="1">
        <v>26653000</v>
      </c>
      <c r="F43" s="1">
        <v>32703000</v>
      </c>
      <c r="G43" s="1">
        <v>20379000</v>
      </c>
      <c r="H43" s="1">
        <v>22686000</v>
      </c>
      <c r="I43" s="1">
        <v>38614000</v>
      </c>
      <c r="J43" s="1">
        <v>56152000</v>
      </c>
      <c r="K43" s="1">
        <v>109417000</v>
      </c>
      <c r="L43" s="1">
        <v>80203000</v>
      </c>
    </row>
    <row r="44" spans="1:12" ht="19" x14ac:dyDescent="0.25">
      <c r="A44" s="6" t="s">
        <v>36</v>
      </c>
      <c r="B44" s="10" t="s">
        <v>91</v>
      </c>
      <c r="C44" s="10">
        <v>76785000</v>
      </c>
      <c r="D44" s="10">
        <v>129993000</v>
      </c>
      <c r="E44" s="10">
        <v>359054000</v>
      </c>
      <c r="F44" s="10">
        <v>371032000</v>
      </c>
      <c r="G44" s="10">
        <v>439264000</v>
      </c>
      <c r="H44" s="10">
        <v>680289000</v>
      </c>
      <c r="I44" s="10">
        <v>921038000</v>
      </c>
      <c r="J44" s="10">
        <v>1894781000</v>
      </c>
      <c r="K44" s="10">
        <v>1341501000</v>
      </c>
      <c r="L44" s="10">
        <v>1513743000</v>
      </c>
    </row>
    <row r="45" spans="1:12" ht="19" x14ac:dyDescent="0.25">
      <c r="A45" s="5" t="s">
        <v>37</v>
      </c>
      <c r="B45" s="1" t="s">
        <v>91</v>
      </c>
      <c r="C45" s="1">
        <v>23107000</v>
      </c>
      <c r="D45" s="1">
        <v>75538000</v>
      </c>
      <c r="E45" s="1">
        <v>105021000</v>
      </c>
      <c r="F45" s="1">
        <v>126407000</v>
      </c>
      <c r="G45" s="1">
        <v>117617000</v>
      </c>
      <c r="H45" s="1">
        <v>120179000</v>
      </c>
      <c r="I45" s="1">
        <v>144864000</v>
      </c>
      <c r="J45" s="1">
        <v>112495000</v>
      </c>
      <c r="K45" s="1">
        <v>275062000</v>
      </c>
      <c r="L45" s="1">
        <v>249744000</v>
      </c>
    </row>
    <row r="46" spans="1:12" ht="19" x14ac:dyDescent="0.25">
      <c r="A46" s="5" t="s">
        <v>38</v>
      </c>
      <c r="B46" s="1" t="s">
        <v>91</v>
      </c>
      <c r="C46" s="1">
        <v>5346000</v>
      </c>
      <c r="D46" s="1">
        <v>30831000</v>
      </c>
      <c r="E46" s="1">
        <v>27752000</v>
      </c>
      <c r="F46" s="1">
        <v>35657000</v>
      </c>
      <c r="G46" s="1">
        <v>38541000</v>
      </c>
      <c r="H46" s="1">
        <v>37482000</v>
      </c>
      <c r="I46" s="1">
        <v>138731000</v>
      </c>
      <c r="J46" s="1">
        <v>140810000</v>
      </c>
      <c r="K46" s="1">
        <v>1371064000</v>
      </c>
      <c r="L46" s="1">
        <v>137724000</v>
      </c>
    </row>
    <row r="47" spans="1:12" ht="19" x14ac:dyDescent="0.25">
      <c r="A47" s="5" t="s">
        <v>39</v>
      </c>
      <c r="B47" s="1" t="s">
        <v>91</v>
      </c>
      <c r="C47" s="1">
        <v>493000</v>
      </c>
      <c r="D47" s="1">
        <v>5410000</v>
      </c>
      <c r="E47" s="1">
        <v>2871000</v>
      </c>
      <c r="F47" s="1">
        <v>7507000</v>
      </c>
      <c r="G47" s="1">
        <v>4100000</v>
      </c>
      <c r="H47" s="1">
        <v>34589000</v>
      </c>
      <c r="I47" s="1">
        <v>199236000</v>
      </c>
      <c r="J47" s="1">
        <v>187449000</v>
      </c>
      <c r="K47" s="1">
        <v>607170000</v>
      </c>
      <c r="L47" s="1">
        <v>535406000</v>
      </c>
    </row>
    <row r="48" spans="1:12" ht="19" x14ac:dyDescent="0.25">
      <c r="A48" s="5" t="s">
        <v>40</v>
      </c>
      <c r="B48" s="1" t="s">
        <v>91</v>
      </c>
      <c r="C48" s="1">
        <v>5839000</v>
      </c>
      <c r="D48" s="1">
        <v>36241000</v>
      </c>
      <c r="E48" s="1">
        <v>30623000</v>
      </c>
      <c r="F48" s="1">
        <v>43164000</v>
      </c>
      <c r="G48" s="1">
        <v>42641000</v>
      </c>
      <c r="H48" s="1">
        <v>72071000</v>
      </c>
      <c r="I48" s="1">
        <v>337967000</v>
      </c>
      <c r="J48" s="1">
        <v>328259000</v>
      </c>
      <c r="K48" s="1">
        <v>1978234000</v>
      </c>
      <c r="L48" s="1">
        <v>673130000</v>
      </c>
    </row>
    <row r="49" spans="1:12" ht="19" x14ac:dyDescent="0.25">
      <c r="A49" s="5" t="s">
        <v>41</v>
      </c>
      <c r="B49" s="1" t="s">
        <v>91</v>
      </c>
      <c r="C49" s="1" t="s">
        <v>91</v>
      </c>
      <c r="D49" s="1" t="s">
        <v>91</v>
      </c>
      <c r="E49" s="1" t="s">
        <v>91</v>
      </c>
      <c r="F49" s="1" t="s">
        <v>91</v>
      </c>
      <c r="G49" s="1" t="s">
        <v>91</v>
      </c>
      <c r="H49" s="1" t="s">
        <v>91</v>
      </c>
      <c r="I49" s="1">
        <v>89343000</v>
      </c>
      <c r="J49" s="1">
        <v>39094000</v>
      </c>
      <c r="K49" s="1">
        <v>85034000</v>
      </c>
      <c r="L49" s="1">
        <v>29137000</v>
      </c>
    </row>
    <row r="50" spans="1:12" ht="19" x14ac:dyDescent="0.25">
      <c r="A50" s="5" t="s">
        <v>42</v>
      </c>
      <c r="B50" s="1" t="s">
        <v>91</v>
      </c>
      <c r="C50" s="1" t="s">
        <v>91</v>
      </c>
      <c r="D50" s="1" t="s">
        <v>91</v>
      </c>
      <c r="E50" s="1">
        <v>51396000</v>
      </c>
      <c r="F50" s="1">
        <v>34264000</v>
      </c>
      <c r="G50" s="1" t="s">
        <v>91</v>
      </c>
      <c r="H50" s="1">
        <v>23464000</v>
      </c>
      <c r="I50" s="1">
        <v>14257000</v>
      </c>
      <c r="J50" s="1">
        <v>115000</v>
      </c>
      <c r="K50" s="1">
        <v>95863000</v>
      </c>
      <c r="L50" s="1">
        <v>121506000</v>
      </c>
    </row>
    <row r="51" spans="1:12" ht="19" x14ac:dyDescent="0.25">
      <c r="A51" s="5" t="s">
        <v>43</v>
      </c>
      <c r="B51" s="1" t="s">
        <v>91</v>
      </c>
      <c r="C51" s="1">
        <v>428000</v>
      </c>
      <c r="D51" s="1">
        <v>7363000</v>
      </c>
      <c r="E51" s="1">
        <v>6967000</v>
      </c>
      <c r="F51" s="1">
        <v>6326000</v>
      </c>
      <c r="G51" s="1">
        <v>6061000</v>
      </c>
      <c r="H51" s="1">
        <v>5848000</v>
      </c>
      <c r="I51" s="1">
        <v>34883000</v>
      </c>
      <c r="J51" s="1">
        <v>29745000</v>
      </c>
      <c r="K51" s="1">
        <v>56115000</v>
      </c>
      <c r="L51" s="1">
        <v>47701000</v>
      </c>
    </row>
    <row r="52" spans="1:12" ht="19" x14ac:dyDescent="0.25">
      <c r="A52" s="5" t="s">
        <v>44</v>
      </c>
      <c r="B52" s="1" t="s">
        <v>91</v>
      </c>
      <c r="C52" s="1">
        <v>29374000</v>
      </c>
      <c r="D52" s="1">
        <v>119142000</v>
      </c>
      <c r="E52" s="1">
        <v>194007000</v>
      </c>
      <c r="F52" s="1">
        <v>210161000</v>
      </c>
      <c r="G52" s="1">
        <v>166319000</v>
      </c>
      <c r="H52" s="1">
        <v>221562000</v>
      </c>
      <c r="I52" s="1">
        <v>621314000</v>
      </c>
      <c r="J52" s="1">
        <v>509708000</v>
      </c>
      <c r="K52" s="1">
        <v>2490308000</v>
      </c>
      <c r="L52" s="1">
        <v>1121218000</v>
      </c>
    </row>
    <row r="53" spans="1:12" ht="19" x14ac:dyDescent="0.25">
      <c r="A53" s="5" t="s">
        <v>45</v>
      </c>
      <c r="B53" s="1" t="s">
        <v>91</v>
      </c>
      <c r="C53" s="1" t="s">
        <v>91</v>
      </c>
      <c r="D53" s="1" t="s">
        <v>91</v>
      </c>
      <c r="E53" s="1" t="s">
        <v>91</v>
      </c>
      <c r="F53" s="1" t="s">
        <v>91</v>
      </c>
      <c r="G53" s="1" t="s">
        <v>91</v>
      </c>
      <c r="H53" s="1" t="s">
        <v>91</v>
      </c>
      <c r="I53" s="1" t="s">
        <v>91</v>
      </c>
      <c r="J53" s="1" t="s">
        <v>91</v>
      </c>
      <c r="K53" s="1" t="s">
        <v>91</v>
      </c>
      <c r="L53" s="1" t="s">
        <v>91</v>
      </c>
    </row>
    <row r="54" spans="1:12" ht="20" thickBot="1" x14ac:dyDescent="0.3">
      <c r="A54" s="7" t="s">
        <v>46</v>
      </c>
      <c r="B54" s="11" t="s">
        <v>91</v>
      </c>
      <c r="C54" s="11">
        <v>106159000</v>
      </c>
      <c r="D54" s="11">
        <v>249135000</v>
      </c>
      <c r="E54" s="11">
        <v>553061000</v>
      </c>
      <c r="F54" s="11">
        <v>581193000</v>
      </c>
      <c r="G54" s="11">
        <v>605583000</v>
      </c>
      <c r="H54" s="11">
        <v>901851000</v>
      </c>
      <c r="I54" s="11">
        <v>1542352000</v>
      </c>
      <c r="J54" s="11">
        <v>2404489000</v>
      </c>
      <c r="K54" s="11">
        <v>3831809000</v>
      </c>
      <c r="L54" s="11">
        <v>2634961000</v>
      </c>
    </row>
    <row r="55" spans="1:12" ht="20" thickTop="1" x14ac:dyDescent="0.25">
      <c r="A55" s="5" t="s">
        <v>47</v>
      </c>
      <c r="B55" s="1" t="s">
        <v>91</v>
      </c>
      <c r="C55" s="1">
        <v>10636000</v>
      </c>
      <c r="D55" s="1">
        <v>18804000</v>
      </c>
      <c r="E55" s="1">
        <v>33644000</v>
      </c>
      <c r="F55" s="1">
        <v>40795000</v>
      </c>
      <c r="G55" s="1">
        <v>58280000</v>
      </c>
      <c r="H55" s="1">
        <v>65434000</v>
      </c>
      <c r="I55" s="1">
        <v>101870000</v>
      </c>
      <c r="J55" s="1">
        <v>261126000</v>
      </c>
      <c r="K55" s="1">
        <v>363806000</v>
      </c>
      <c r="L55" s="1">
        <v>262718000</v>
      </c>
    </row>
    <row r="56" spans="1:12" ht="19" x14ac:dyDescent="0.25">
      <c r="A56" s="5" t="s">
        <v>48</v>
      </c>
      <c r="B56" s="1" t="s">
        <v>91</v>
      </c>
      <c r="C56" s="1">
        <v>780000</v>
      </c>
      <c r="D56" s="1">
        <v>1755000</v>
      </c>
      <c r="E56" s="1">
        <v>5610000</v>
      </c>
      <c r="F56" s="1">
        <v>6829000</v>
      </c>
      <c r="G56" s="1">
        <v>5798000</v>
      </c>
      <c r="H56" s="1">
        <v>3884000</v>
      </c>
      <c r="I56" s="1">
        <v>8275000</v>
      </c>
      <c r="J56" s="1">
        <v>8537000</v>
      </c>
      <c r="K56" s="1">
        <v>2418000</v>
      </c>
      <c r="L56" s="1">
        <v>4731000</v>
      </c>
    </row>
    <row r="57" spans="1:12" ht="19" x14ac:dyDescent="0.25">
      <c r="A57" s="5" t="s">
        <v>49</v>
      </c>
      <c r="B57" s="1" t="s">
        <v>91</v>
      </c>
      <c r="C57" s="1" t="s">
        <v>91</v>
      </c>
      <c r="D57" s="1" t="s">
        <v>91</v>
      </c>
      <c r="E57" s="1" t="s">
        <v>91</v>
      </c>
      <c r="F57" s="1" t="s">
        <v>91</v>
      </c>
      <c r="G57" s="1" t="s">
        <v>91</v>
      </c>
      <c r="H57" s="1">
        <v>12232000</v>
      </c>
      <c r="I57" s="1">
        <v>39250000</v>
      </c>
      <c r="J57" s="1">
        <v>109662000</v>
      </c>
      <c r="K57" s="1">
        <v>146048000</v>
      </c>
      <c r="L57" s="1" t="s">
        <v>91</v>
      </c>
    </row>
    <row r="58" spans="1:12" ht="19" x14ac:dyDescent="0.25">
      <c r="A58" s="5" t="s">
        <v>50</v>
      </c>
      <c r="B58" s="1" t="s">
        <v>91</v>
      </c>
      <c r="C58" s="1">
        <v>2760000</v>
      </c>
      <c r="D58" s="1">
        <v>3452000</v>
      </c>
      <c r="E58" s="1">
        <v>4712000</v>
      </c>
      <c r="F58" s="1">
        <v>5648000</v>
      </c>
      <c r="G58" s="1">
        <v>6262000</v>
      </c>
      <c r="H58" s="1">
        <v>7478000</v>
      </c>
      <c r="I58" s="1">
        <v>7617000</v>
      </c>
      <c r="J58" s="1">
        <v>11264000</v>
      </c>
      <c r="K58" s="1">
        <v>12339000</v>
      </c>
      <c r="L58" s="1">
        <v>14008000</v>
      </c>
    </row>
    <row r="59" spans="1:12" ht="19" x14ac:dyDescent="0.25">
      <c r="A59" s="5" t="s">
        <v>51</v>
      </c>
      <c r="B59" s="1" t="s">
        <v>91</v>
      </c>
      <c r="C59" s="1">
        <v>5043000</v>
      </c>
      <c r="D59" s="1">
        <v>17442000</v>
      </c>
      <c r="E59" s="1">
        <v>36156000</v>
      </c>
      <c r="F59" s="1">
        <v>30736000</v>
      </c>
      <c r="G59" s="1">
        <v>32137000</v>
      </c>
      <c r="H59" s="1">
        <v>23034000</v>
      </c>
      <c r="I59" s="1">
        <v>31516000</v>
      </c>
      <c r="J59" s="1">
        <v>64075000</v>
      </c>
      <c r="K59" s="1">
        <v>90977000</v>
      </c>
      <c r="L59" s="1">
        <v>350298000</v>
      </c>
    </row>
    <row r="60" spans="1:12" ht="19" x14ac:dyDescent="0.25">
      <c r="A60" s="6" t="s">
        <v>52</v>
      </c>
      <c r="B60" s="10" t="s">
        <v>91</v>
      </c>
      <c r="C60" s="10">
        <v>19219000</v>
      </c>
      <c r="D60" s="10">
        <v>41453000</v>
      </c>
      <c r="E60" s="10">
        <v>80122000</v>
      </c>
      <c r="F60" s="10">
        <v>84008000</v>
      </c>
      <c r="G60" s="10">
        <v>102477000</v>
      </c>
      <c r="H60" s="10">
        <v>112062000</v>
      </c>
      <c r="I60" s="10">
        <v>188528000</v>
      </c>
      <c r="J60" s="10">
        <v>454664000</v>
      </c>
      <c r="K60" s="10">
        <v>615588000</v>
      </c>
      <c r="L60" s="10">
        <v>631755000</v>
      </c>
    </row>
    <row r="61" spans="1:12" ht="19" x14ac:dyDescent="0.25">
      <c r="A61" s="5" t="s">
        <v>53</v>
      </c>
      <c r="B61" s="1" t="s">
        <v>91</v>
      </c>
      <c r="C61" s="1" t="s">
        <v>91</v>
      </c>
      <c r="D61" s="1" t="s">
        <v>91</v>
      </c>
      <c r="E61" s="1" t="s">
        <v>91</v>
      </c>
      <c r="F61" s="1" t="s">
        <v>91</v>
      </c>
      <c r="G61" s="1" t="s">
        <v>91</v>
      </c>
      <c r="H61" s="1">
        <v>276486000</v>
      </c>
      <c r="I61" s="1">
        <v>785126000</v>
      </c>
      <c r="J61" s="1">
        <v>1107278000</v>
      </c>
      <c r="K61" s="1">
        <v>2385701000</v>
      </c>
      <c r="L61" s="1">
        <v>2385339000</v>
      </c>
    </row>
    <row r="62" spans="1:12" ht="19" x14ac:dyDescent="0.25">
      <c r="A62" s="5" t="s">
        <v>50</v>
      </c>
      <c r="B62" s="1" t="s">
        <v>91</v>
      </c>
      <c r="C62" s="1" t="s">
        <v>91</v>
      </c>
      <c r="D62" s="1" t="s">
        <v>91</v>
      </c>
      <c r="E62" s="1" t="s">
        <v>91</v>
      </c>
      <c r="F62" s="1" t="s">
        <v>91</v>
      </c>
      <c r="G62" s="1" t="s">
        <v>91</v>
      </c>
      <c r="H62" s="1" t="s">
        <v>91</v>
      </c>
      <c r="I62" s="1" t="s">
        <v>91</v>
      </c>
      <c r="J62" s="1" t="s">
        <v>91</v>
      </c>
      <c r="K62" s="1" t="s">
        <v>91</v>
      </c>
      <c r="L62" s="1" t="s">
        <v>91</v>
      </c>
    </row>
    <row r="63" spans="1:12" ht="19" x14ac:dyDescent="0.25">
      <c r="A63" s="5" t="s">
        <v>54</v>
      </c>
      <c r="B63" s="1" t="s">
        <v>91</v>
      </c>
      <c r="C63" s="1">
        <v>1259000</v>
      </c>
      <c r="D63" s="1">
        <v>3081000</v>
      </c>
      <c r="E63" s="1">
        <v>61420000</v>
      </c>
      <c r="F63" s="1">
        <v>65068000</v>
      </c>
      <c r="G63" s="1">
        <v>23786000</v>
      </c>
      <c r="H63" s="1">
        <v>30455000</v>
      </c>
      <c r="I63" s="1">
        <v>64497000</v>
      </c>
      <c r="J63" s="1">
        <v>58481000</v>
      </c>
      <c r="K63" s="1">
        <v>79484000</v>
      </c>
      <c r="L63" s="1">
        <v>44735000</v>
      </c>
    </row>
    <row r="64" spans="1:12" ht="19" x14ac:dyDescent="0.25">
      <c r="A64" s="5" t="s">
        <v>55</v>
      </c>
      <c r="B64" s="1" t="s">
        <v>91</v>
      </c>
      <c r="C64" s="1">
        <v>81678000</v>
      </c>
      <c r="D64" s="1">
        <v>55381000</v>
      </c>
      <c r="E64" s="1">
        <v>81021000</v>
      </c>
      <c r="F64" s="1">
        <v>87360000</v>
      </c>
      <c r="G64" s="1">
        <v>82426000</v>
      </c>
      <c r="H64" s="1">
        <v>81950000</v>
      </c>
      <c r="I64" s="1">
        <v>97567000</v>
      </c>
      <c r="J64" s="1">
        <v>41642000</v>
      </c>
      <c r="K64" s="1">
        <v>122417000</v>
      </c>
      <c r="L64" s="1">
        <v>120406000</v>
      </c>
    </row>
    <row r="65" spans="1:14" ht="19" x14ac:dyDescent="0.25">
      <c r="A65" s="5" t="s">
        <v>56</v>
      </c>
      <c r="B65" s="1" t="s">
        <v>91</v>
      </c>
      <c r="C65" s="1">
        <v>82937000</v>
      </c>
      <c r="D65" s="1">
        <v>58462000</v>
      </c>
      <c r="E65" s="1">
        <v>142441000</v>
      </c>
      <c r="F65" s="1">
        <v>152428000</v>
      </c>
      <c r="G65" s="1">
        <v>106212000</v>
      </c>
      <c r="H65" s="1">
        <v>388891000</v>
      </c>
      <c r="I65" s="1">
        <v>947190000</v>
      </c>
      <c r="J65" s="1">
        <v>1207401000</v>
      </c>
      <c r="K65" s="1">
        <v>2587602000</v>
      </c>
      <c r="L65" s="1">
        <v>2550480000</v>
      </c>
    </row>
    <row r="66" spans="1:14" ht="19" x14ac:dyDescent="0.25">
      <c r="A66" s="5" t="s">
        <v>57</v>
      </c>
      <c r="B66" s="1" t="s">
        <v>91</v>
      </c>
      <c r="C66" s="1" t="s">
        <v>91</v>
      </c>
      <c r="D66" s="1" t="s">
        <v>91</v>
      </c>
      <c r="E66" s="1" t="s">
        <v>91</v>
      </c>
      <c r="F66" s="1" t="s">
        <v>91</v>
      </c>
      <c r="G66" s="1" t="s">
        <v>91</v>
      </c>
      <c r="H66" s="1" t="s">
        <v>91</v>
      </c>
      <c r="I66" s="1" t="s">
        <v>91</v>
      </c>
      <c r="J66" s="1" t="s">
        <v>91</v>
      </c>
      <c r="K66" s="1" t="s">
        <v>91</v>
      </c>
      <c r="L66" s="1" t="s">
        <v>91</v>
      </c>
    </row>
    <row r="67" spans="1:14" ht="19" x14ac:dyDescent="0.25">
      <c r="A67" s="6" t="s">
        <v>58</v>
      </c>
      <c r="B67" s="10" t="s">
        <v>91</v>
      </c>
      <c r="C67" s="10">
        <v>102156000</v>
      </c>
      <c r="D67" s="10">
        <v>99915000</v>
      </c>
      <c r="E67" s="10">
        <v>222563000</v>
      </c>
      <c r="F67" s="10">
        <v>236436000</v>
      </c>
      <c r="G67" s="10">
        <v>208689000</v>
      </c>
      <c r="H67" s="10">
        <v>500953000</v>
      </c>
      <c r="I67" s="10">
        <v>1135718000</v>
      </c>
      <c r="J67" s="10">
        <v>1662065000</v>
      </c>
      <c r="K67" s="10">
        <v>3203190000</v>
      </c>
      <c r="L67" s="10">
        <v>3182235000</v>
      </c>
    </row>
    <row r="68" spans="1:14" ht="19" x14ac:dyDescent="0.25">
      <c r="A68" s="5" t="s">
        <v>59</v>
      </c>
      <c r="B68" s="1" t="s">
        <v>91</v>
      </c>
      <c r="C68" s="1">
        <v>33000</v>
      </c>
      <c r="D68" s="1">
        <v>97000</v>
      </c>
      <c r="E68" s="1">
        <v>113000</v>
      </c>
      <c r="F68" s="1">
        <v>116000</v>
      </c>
      <c r="G68" s="1">
        <v>122000</v>
      </c>
      <c r="H68" s="1">
        <v>120000</v>
      </c>
      <c r="I68" s="1">
        <v>119000</v>
      </c>
      <c r="J68" s="1">
        <v>126000</v>
      </c>
      <c r="K68" s="1">
        <v>127000</v>
      </c>
      <c r="L68" s="1">
        <v>125000</v>
      </c>
    </row>
    <row r="69" spans="1:14" ht="19" x14ac:dyDescent="0.25">
      <c r="A69" s="5" t="s">
        <v>60</v>
      </c>
      <c r="B69" s="1" t="s">
        <v>91</v>
      </c>
      <c r="C69" s="1">
        <v>-17134000</v>
      </c>
      <c r="D69" s="1">
        <v>-32377000</v>
      </c>
      <c r="E69" s="1">
        <v>-86440000</v>
      </c>
      <c r="F69" s="1">
        <v>-116341000</v>
      </c>
      <c r="G69" s="1">
        <v>-96290000</v>
      </c>
      <c r="H69" s="1">
        <v>-153442000</v>
      </c>
      <c r="I69" s="1">
        <v>-227414000</v>
      </c>
      <c r="J69" s="1">
        <v>-146819000</v>
      </c>
      <c r="K69" s="1">
        <v>71744000</v>
      </c>
      <c r="L69" s="1">
        <v>-1048267000</v>
      </c>
    </row>
    <row r="70" spans="1:14" ht="19" x14ac:dyDescent="0.25">
      <c r="A70" s="5" t="s">
        <v>61</v>
      </c>
      <c r="B70" s="1" t="s">
        <v>91</v>
      </c>
      <c r="C70" s="1">
        <v>160000</v>
      </c>
      <c r="D70" s="1">
        <v>-3934000</v>
      </c>
      <c r="E70" s="1">
        <v>10805000</v>
      </c>
      <c r="F70" s="1">
        <v>18472000</v>
      </c>
      <c r="G70" s="1">
        <v>-6379000</v>
      </c>
      <c r="H70" s="1">
        <v>-7813000</v>
      </c>
      <c r="I70" s="1">
        <v>-8699000</v>
      </c>
      <c r="J70" s="1">
        <v>5951000</v>
      </c>
      <c r="K70" s="1">
        <v>-75014000</v>
      </c>
      <c r="L70" s="1">
        <v>-314217000</v>
      </c>
    </row>
    <row r="71" spans="1:14" ht="19" x14ac:dyDescent="0.25">
      <c r="A71" s="5" t="s">
        <v>62</v>
      </c>
      <c r="B71" s="1" t="s">
        <v>91</v>
      </c>
      <c r="C71" s="1">
        <v>20944000</v>
      </c>
      <c r="D71" s="1">
        <v>185434000</v>
      </c>
      <c r="E71" s="1">
        <v>406020000</v>
      </c>
      <c r="F71" s="1">
        <v>442510000</v>
      </c>
      <c r="G71" s="1">
        <v>499441000</v>
      </c>
      <c r="H71" s="1">
        <v>562033000</v>
      </c>
      <c r="I71" s="1">
        <v>642628000</v>
      </c>
      <c r="J71" s="1">
        <v>883166000</v>
      </c>
      <c r="K71" s="1">
        <v>631762000</v>
      </c>
      <c r="L71" s="1">
        <v>815085000</v>
      </c>
    </row>
    <row r="72" spans="1:14" ht="19" x14ac:dyDescent="0.25">
      <c r="A72" s="6" t="s">
        <v>63</v>
      </c>
      <c r="B72" s="10" t="s">
        <v>91</v>
      </c>
      <c r="C72" s="10">
        <v>4003000</v>
      </c>
      <c r="D72" s="10">
        <v>149220000</v>
      </c>
      <c r="E72" s="10">
        <v>330498000</v>
      </c>
      <c r="F72" s="10">
        <v>344757000</v>
      </c>
      <c r="G72" s="10">
        <v>396894000</v>
      </c>
      <c r="H72" s="10">
        <v>400898000</v>
      </c>
      <c r="I72" s="10">
        <v>406634000</v>
      </c>
      <c r="J72" s="10">
        <v>742424000</v>
      </c>
      <c r="K72" s="10">
        <v>628619000</v>
      </c>
      <c r="L72" s="10">
        <v>-547274000</v>
      </c>
    </row>
    <row r="73" spans="1:14" ht="20" thickBot="1" x14ac:dyDescent="0.3">
      <c r="A73" s="7" t="s">
        <v>64</v>
      </c>
      <c r="B73" s="11" t="s">
        <v>91</v>
      </c>
      <c r="C73" s="11">
        <v>106159000</v>
      </c>
      <c r="D73" s="11">
        <v>249135000</v>
      </c>
      <c r="E73" s="11">
        <v>553061000</v>
      </c>
      <c r="F73" s="11">
        <v>581193000</v>
      </c>
      <c r="G73" s="11">
        <v>605583000</v>
      </c>
      <c r="H73" s="11">
        <v>901851000</v>
      </c>
      <c r="I73" s="11">
        <v>1542352000</v>
      </c>
      <c r="J73" s="11">
        <v>2404489000</v>
      </c>
      <c r="K73" s="11">
        <v>3831809000</v>
      </c>
      <c r="L73" s="11">
        <v>2634961000</v>
      </c>
    </row>
    <row r="74" spans="1:14"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row>
    <row r="75" spans="1:14" ht="21" x14ac:dyDescent="0.25">
      <c r="A75" s="4" t="s">
        <v>65</v>
      </c>
      <c r="B75" s="9" t="s">
        <v>90</v>
      </c>
      <c r="C75" s="9" t="s">
        <v>90</v>
      </c>
      <c r="D75" s="9" t="s">
        <v>90</v>
      </c>
      <c r="E75" s="9" t="s">
        <v>90</v>
      </c>
      <c r="F75" s="9" t="s">
        <v>90</v>
      </c>
      <c r="G75" s="9" t="s">
        <v>90</v>
      </c>
      <c r="H75" s="9" t="s">
        <v>90</v>
      </c>
      <c r="I75" s="9" t="s">
        <v>90</v>
      </c>
      <c r="J75" s="9" t="s">
        <v>90</v>
      </c>
      <c r="K75" s="9" t="s">
        <v>90</v>
      </c>
      <c r="L75" s="9" t="s">
        <v>90</v>
      </c>
    </row>
    <row r="76" spans="1:14" ht="19" x14ac:dyDescent="0.25">
      <c r="A76" s="5" t="s">
        <v>66</v>
      </c>
      <c r="B76" s="1">
        <v>-2385000</v>
      </c>
      <c r="C76" s="1">
        <v>-796000</v>
      </c>
      <c r="D76" s="1">
        <v>-15243000</v>
      </c>
      <c r="E76" s="1">
        <v>-54063000</v>
      </c>
      <c r="F76" s="1">
        <v>-29901000</v>
      </c>
      <c r="G76" s="1">
        <v>81800000</v>
      </c>
      <c r="H76" s="1">
        <v>77491000</v>
      </c>
      <c r="I76" s="1">
        <v>95894000</v>
      </c>
      <c r="J76" s="1">
        <v>349246000</v>
      </c>
      <c r="K76" s="1">
        <v>493507000</v>
      </c>
      <c r="L76" s="1">
        <v>-694288000</v>
      </c>
    </row>
    <row r="77" spans="1:14" ht="19" x14ac:dyDescent="0.25">
      <c r="A77" s="5" t="s">
        <v>13</v>
      </c>
      <c r="B77" s="1">
        <v>7930000</v>
      </c>
      <c r="C77" s="1">
        <v>12380000</v>
      </c>
      <c r="D77" s="1">
        <v>17223000</v>
      </c>
      <c r="E77" s="1">
        <v>18550000</v>
      </c>
      <c r="F77" s="1">
        <v>22525000</v>
      </c>
      <c r="G77" s="1">
        <v>27197000</v>
      </c>
      <c r="H77" s="1">
        <v>26742000</v>
      </c>
      <c r="I77" s="1">
        <v>48031000</v>
      </c>
      <c r="J77" s="1">
        <v>58189000</v>
      </c>
      <c r="K77" s="1">
        <v>74267000</v>
      </c>
      <c r="L77" s="1">
        <v>96702000</v>
      </c>
    </row>
    <row r="78" spans="1:14" ht="19" x14ac:dyDescent="0.25">
      <c r="A78" s="5" t="s">
        <v>67</v>
      </c>
      <c r="B78" s="1">
        <v>-736000</v>
      </c>
      <c r="C78" s="1" t="s">
        <v>91</v>
      </c>
      <c r="D78" s="1">
        <v>-817000</v>
      </c>
      <c r="E78" s="1">
        <v>17132000</v>
      </c>
      <c r="F78" s="1">
        <v>17132000</v>
      </c>
      <c r="G78" s="1">
        <v>-47972000</v>
      </c>
      <c r="H78" s="1">
        <v>-22414000</v>
      </c>
      <c r="I78" s="1">
        <v>-15248000</v>
      </c>
      <c r="J78" s="1">
        <v>2202000</v>
      </c>
      <c r="K78" s="1">
        <v>-88952000</v>
      </c>
      <c r="L78" s="1">
        <v>-55303000</v>
      </c>
    </row>
    <row r="79" spans="1:14" ht="19" x14ac:dyDescent="0.25">
      <c r="A79" s="5" t="s">
        <v>68</v>
      </c>
      <c r="B79" s="1">
        <v>4094000</v>
      </c>
      <c r="C79" s="1">
        <v>3834000</v>
      </c>
      <c r="D79" s="1">
        <v>10050000</v>
      </c>
      <c r="E79" s="1">
        <v>10841000</v>
      </c>
      <c r="F79" s="1">
        <v>15901000</v>
      </c>
      <c r="G79" s="1">
        <v>26559000</v>
      </c>
      <c r="H79" s="1">
        <v>38231000</v>
      </c>
      <c r="I79" s="1">
        <v>44395000</v>
      </c>
      <c r="J79" s="1">
        <v>65114000</v>
      </c>
      <c r="K79" s="1">
        <v>139910000</v>
      </c>
      <c r="L79" s="1">
        <v>230888000</v>
      </c>
    </row>
    <row r="80" spans="1:14" ht="19" x14ac:dyDescent="0.25">
      <c r="A80" s="15" t="s">
        <v>104</v>
      </c>
      <c r="B80" s="16">
        <f t="shared" ref="B80:L80" si="8">B79/B3</f>
        <v>5.4877885311385752E-2</v>
      </c>
      <c r="C80" s="16">
        <f t="shared" si="8"/>
        <v>3.0666602677928683E-2</v>
      </c>
      <c r="D80" s="16">
        <f t="shared" si="8"/>
        <v>5.1382732334309858E-2</v>
      </c>
      <c r="E80" s="16">
        <f t="shared" si="8"/>
        <v>3.9638170523475409E-2</v>
      </c>
      <c r="F80" s="16">
        <f t="shared" si="8"/>
        <v>4.3568322615469342E-2</v>
      </c>
      <c r="G80" s="16">
        <f t="shared" si="8"/>
        <v>6.0192960150125444E-2</v>
      </c>
      <c r="H80" s="16">
        <f t="shared" si="8"/>
        <v>6.3328546131891539E-2</v>
      </c>
      <c r="I80" s="16">
        <f t="shared" si="8"/>
        <v>5.4247481912414665E-2</v>
      </c>
      <c r="J80" s="16">
        <f t="shared" si="8"/>
        <v>3.7733574791742122E-2</v>
      </c>
      <c r="K80" s="16">
        <f t="shared" si="8"/>
        <v>6.007005238902003E-2</v>
      </c>
      <c r="L80" s="16">
        <f t="shared" si="8"/>
        <v>8.9975842822075894E-2</v>
      </c>
      <c r="N80" s="16"/>
    </row>
    <row r="81" spans="1:20" ht="19" x14ac:dyDescent="0.25">
      <c r="A81" s="5" t="s">
        <v>69</v>
      </c>
      <c r="B81" s="1">
        <v>-1390000</v>
      </c>
      <c r="C81" s="1">
        <v>-960000</v>
      </c>
      <c r="D81" s="1">
        <v>263000</v>
      </c>
      <c r="E81" s="1">
        <v>9321000</v>
      </c>
      <c r="F81" s="1">
        <v>-513000</v>
      </c>
      <c r="G81" s="1">
        <v>-1244000</v>
      </c>
      <c r="H81" s="1">
        <v>59346000</v>
      </c>
      <c r="I81" s="1">
        <v>9994000</v>
      </c>
      <c r="J81" s="1">
        <v>124197000</v>
      </c>
      <c r="K81" s="1">
        <v>23883000</v>
      </c>
      <c r="L81" s="1">
        <v>1105613000</v>
      </c>
    </row>
    <row r="82" spans="1:20" ht="19" x14ac:dyDescent="0.25">
      <c r="A82" s="5" t="s">
        <v>70</v>
      </c>
      <c r="B82" s="1">
        <v>-6304000</v>
      </c>
      <c r="C82" s="1">
        <v>-7739000</v>
      </c>
      <c r="D82" s="1">
        <v>-10172000</v>
      </c>
      <c r="E82" s="1">
        <v>-15764000</v>
      </c>
      <c r="F82" s="1">
        <v>-19102000</v>
      </c>
      <c r="G82" s="1">
        <v>-22303000</v>
      </c>
      <c r="H82" s="1">
        <v>40651000</v>
      </c>
      <c r="I82" s="1">
        <v>-35833000</v>
      </c>
      <c r="J82" s="1">
        <v>-112681000</v>
      </c>
      <c r="K82" s="1">
        <v>-103197000</v>
      </c>
      <c r="L82" s="1">
        <v>-14056000</v>
      </c>
    </row>
    <row r="83" spans="1:20" ht="21" x14ac:dyDescent="0.25">
      <c r="A83" s="5" t="s">
        <v>34</v>
      </c>
      <c r="B83" s="1" t="s">
        <v>91</v>
      </c>
      <c r="C83" s="1" t="s">
        <v>91</v>
      </c>
      <c r="D83" s="1" t="s">
        <v>91</v>
      </c>
      <c r="E83" s="1" t="s">
        <v>91</v>
      </c>
      <c r="F83" s="1" t="s">
        <v>91</v>
      </c>
      <c r="G83" s="1" t="s">
        <v>91</v>
      </c>
      <c r="H83" s="1" t="s">
        <v>91</v>
      </c>
      <c r="I83" s="1" t="s">
        <v>91</v>
      </c>
      <c r="J83" s="1" t="s">
        <v>91</v>
      </c>
      <c r="K83" s="1" t="s">
        <v>91</v>
      </c>
      <c r="L83" s="1" t="s">
        <v>91</v>
      </c>
      <c r="S83" s="42" t="s">
        <v>133</v>
      </c>
      <c r="T83" s="43"/>
    </row>
    <row r="84" spans="1:20" ht="19" x14ac:dyDescent="0.25">
      <c r="A84" s="5" t="s">
        <v>47</v>
      </c>
      <c r="B84" s="1">
        <v>4598000</v>
      </c>
      <c r="C84" s="1">
        <v>4705000</v>
      </c>
      <c r="D84" s="1">
        <v>4926000</v>
      </c>
      <c r="E84" s="1">
        <v>15753000</v>
      </c>
      <c r="F84" s="1">
        <v>7325000</v>
      </c>
      <c r="G84" s="1">
        <v>16314000</v>
      </c>
      <c r="H84" s="1">
        <v>-10072000</v>
      </c>
      <c r="I84" s="1">
        <v>22224000</v>
      </c>
      <c r="J84" s="1">
        <v>104691000</v>
      </c>
      <c r="K84" s="1">
        <v>69772000</v>
      </c>
      <c r="L84" s="1">
        <v>532000</v>
      </c>
      <c r="S84" s="44" t="s">
        <v>134</v>
      </c>
      <c r="T84" s="44"/>
    </row>
    <row r="85" spans="1:20" ht="20" x14ac:dyDescent="0.25">
      <c r="A85" s="5" t="s">
        <v>71</v>
      </c>
      <c r="B85" s="1">
        <v>395000</v>
      </c>
      <c r="C85" s="1">
        <v>794000</v>
      </c>
      <c r="D85" s="1">
        <v>693000</v>
      </c>
      <c r="E85" s="1">
        <v>1279000</v>
      </c>
      <c r="F85" s="1">
        <v>964000</v>
      </c>
      <c r="G85" s="1">
        <v>434000</v>
      </c>
      <c r="H85" s="1">
        <v>1331000</v>
      </c>
      <c r="I85" s="1">
        <v>191000</v>
      </c>
      <c r="J85" s="1">
        <v>3312000</v>
      </c>
      <c r="K85" s="1">
        <v>1441000</v>
      </c>
      <c r="L85" s="1" t="s">
        <v>91</v>
      </c>
      <c r="S85" s="45" t="s">
        <v>135</v>
      </c>
      <c r="T85" s="46">
        <f>L17</f>
        <v>14168000</v>
      </c>
    </row>
    <row r="86" spans="1:20" ht="20" x14ac:dyDescent="0.25">
      <c r="A86" s="5" t="s">
        <v>72</v>
      </c>
      <c r="B86" s="1">
        <v>2171000</v>
      </c>
      <c r="C86" s="1">
        <v>2084000</v>
      </c>
      <c r="D86" s="1">
        <v>611000</v>
      </c>
      <c r="E86" s="1">
        <v>27430000</v>
      </c>
      <c r="F86" s="1">
        <v>21615000</v>
      </c>
      <c r="G86" s="1">
        <v>-18920000</v>
      </c>
      <c r="H86" s="1">
        <v>19529000</v>
      </c>
      <c r="I86" s="1">
        <v>23854000</v>
      </c>
      <c r="J86" s="1">
        <v>80008000</v>
      </c>
      <c r="K86" s="1">
        <v>8936000</v>
      </c>
      <c r="L86" s="1" t="s">
        <v>91</v>
      </c>
      <c r="S86" s="45" t="s">
        <v>136</v>
      </c>
      <c r="T86" s="46">
        <f>L56</f>
        <v>4731000</v>
      </c>
    </row>
    <row r="87" spans="1:20" ht="20" x14ac:dyDescent="0.25">
      <c r="A87" s="6" t="s">
        <v>73</v>
      </c>
      <c r="B87" s="10">
        <v>9684000</v>
      </c>
      <c r="C87" s="10">
        <v>16542000</v>
      </c>
      <c r="D87" s="10">
        <v>12087000</v>
      </c>
      <c r="E87" s="10">
        <v>29211000</v>
      </c>
      <c r="F87" s="10">
        <v>46759000</v>
      </c>
      <c r="G87" s="10">
        <v>67420000</v>
      </c>
      <c r="H87" s="10">
        <v>198925000</v>
      </c>
      <c r="I87" s="10">
        <v>206920000</v>
      </c>
      <c r="J87" s="10">
        <v>678956000</v>
      </c>
      <c r="K87" s="10">
        <v>651551000</v>
      </c>
      <c r="L87" s="10">
        <v>683612000</v>
      </c>
      <c r="S87" s="45" t="s">
        <v>137</v>
      </c>
      <c r="T87" s="46">
        <f>L61</f>
        <v>2385339000</v>
      </c>
    </row>
    <row r="88" spans="1:20" ht="20" x14ac:dyDescent="0.25">
      <c r="A88" s="5" t="s">
        <v>74</v>
      </c>
      <c r="B88" s="1">
        <v>-13946000</v>
      </c>
      <c r="C88" s="1">
        <v>-17072000</v>
      </c>
      <c r="D88" s="1">
        <v>-9584000</v>
      </c>
      <c r="E88" s="1">
        <v>-20835000</v>
      </c>
      <c r="F88" s="1">
        <v>-47750000</v>
      </c>
      <c r="G88" s="1">
        <v>-13156000</v>
      </c>
      <c r="H88" s="1">
        <v>-20556000</v>
      </c>
      <c r="I88" s="1">
        <v>-15278000</v>
      </c>
      <c r="J88" s="1">
        <v>-7110000</v>
      </c>
      <c r="K88" s="1">
        <v>-28170000</v>
      </c>
      <c r="L88" s="1">
        <v>-10237000</v>
      </c>
      <c r="S88" s="47" t="s">
        <v>138</v>
      </c>
      <c r="T88" s="48">
        <f>T85/(T86+T87)</f>
        <v>5.9278598534770952E-3</v>
      </c>
    </row>
    <row r="89" spans="1:20" ht="20" customHeight="1" x14ac:dyDescent="0.25">
      <c r="A89" s="15" t="s">
        <v>105</v>
      </c>
      <c r="B89" s="16">
        <f t="shared" ref="B89:L89" si="9">(-1*B88)/B3</f>
        <v>0.18693868797083188</v>
      </c>
      <c r="C89" s="16">
        <f t="shared" si="9"/>
        <v>0.13655196685383372</v>
      </c>
      <c r="D89" s="16">
        <f t="shared" si="9"/>
        <v>4.9000209621097086E-2</v>
      </c>
      <c r="E89" s="16">
        <f t="shared" si="9"/>
        <v>7.6179437584780935E-2</v>
      </c>
      <c r="F89" s="16">
        <f t="shared" si="9"/>
        <v>0.13083374661270744</v>
      </c>
      <c r="G89" s="16">
        <f t="shared" si="9"/>
        <v>2.9816581337213387E-2</v>
      </c>
      <c r="H89" s="16">
        <f t="shared" si="9"/>
        <v>3.4050419666949924E-2</v>
      </c>
      <c r="I89" s="16">
        <f t="shared" si="9"/>
        <v>1.8668611975624985E-2</v>
      </c>
      <c r="J89" s="16">
        <f t="shared" si="9"/>
        <v>4.120246287576965E-3</v>
      </c>
      <c r="K89" s="16">
        <f t="shared" si="9"/>
        <v>1.2094727866476265E-2</v>
      </c>
      <c r="L89" s="16">
        <f t="shared" si="9"/>
        <v>3.9893052171164848E-3</v>
      </c>
      <c r="S89" s="45" t="s">
        <v>106</v>
      </c>
      <c r="T89" s="46">
        <f>L27</f>
        <v>32310000</v>
      </c>
    </row>
    <row r="90" spans="1:20" ht="20" x14ac:dyDescent="0.25">
      <c r="A90" s="5" t="s">
        <v>75</v>
      </c>
      <c r="B90" s="1">
        <v>-200000</v>
      </c>
      <c r="C90" s="1">
        <v>-675000</v>
      </c>
      <c r="D90" s="1">
        <v>-4688000</v>
      </c>
      <c r="E90" s="1" t="s">
        <v>91</v>
      </c>
      <c r="F90" s="1">
        <v>-7880000</v>
      </c>
      <c r="G90" s="1" t="s">
        <v>91</v>
      </c>
      <c r="H90" s="1" t="s">
        <v>91</v>
      </c>
      <c r="I90" s="1">
        <v>-270409000</v>
      </c>
      <c r="J90" s="1" t="s">
        <v>91</v>
      </c>
      <c r="K90" s="1">
        <v>-1699974000</v>
      </c>
      <c r="L90" s="1" t="s">
        <v>91</v>
      </c>
      <c r="S90" s="45" t="s">
        <v>19</v>
      </c>
      <c r="T90" s="46">
        <f>L25*-1</f>
        <v>661978000</v>
      </c>
    </row>
    <row r="91" spans="1:20" ht="20" x14ac:dyDescent="0.25">
      <c r="A91" s="5" t="s">
        <v>76</v>
      </c>
      <c r="B91" s="1">
        <v>-16081000</v>
      </c>
      <c r="C91" s="1">
        <v>-39000</v>
      </c>
      <c r="D91" s="1">
        <v>-21698000</v>
      </c>
      <c r="E91" s="1">
        <v>-26040000</v>
      </c>
      <c r="F91" s="1">
        <v>-160504000</v>
      </c>
      <c r="G91" s="1">
        <v>-62348000</v>
      </c>
      <c r="H91" s="1">
        <v>-514286000</v>
      </c>
      <c r="I91" s="1">
        <v>-661821000</v>
      </c>
      <c r="J91" s="1">
        <v>-499237000</v>
      </c>
      <c r="K91" s="1">
        <v>-418518000</v>
      </c>
      <c r="L91" s="1">
        <v>-270345000</v>
      </c>
      <c r="S91" s="47" t="s">
        <v>139</v>
      </c>
      <c r="T91" s="48">
        <f>T89/T90</f>
        <v>4.8808268552731363E-2</v>
      </c>
    </row>
    <row r="92" spans="1:20" ht="20" x14ac:dyDescent="0.25">
      <c r="A92" s="5" t="s">
        <v>77</v>
      </c>
      <c r="B92" s="1">
        <v>1350000</v>
      </c>
      <c r="C92" s="1">
        <v>2761000</v>
      </c>
      <c r="D92" s="1">
        <v>20588000</v>
      </c>
      <c r="E92" s="1">
        <v>23592000</v>
      </c>
      <c r="F92" s="1">
        <v>80704000</v>
      </c>
      <c r="G92" s="1">
        <v>137340000</v>
      </c>
      <c r="H92" s="1">
        <v>284943000</v>
      </c>
      <c r="I92" s="1">
        <v>461098000</v>
      </c>
      <c r="J92" s="1">
        <v>495848000</v>
      </c>
      <c r="K92" s="1">
        <v>590630000</v>
      </c>
      <c r="L92" s="1">
        <v>277520000</v>
      </c>
      <c r="S92" s="47" t="s">
        <v>140</v>
      </c>
      <c r="T92" s="48">
        <f>T88*(1-T91)</f>
        <v>5.6385312778056305E-3</v>
      </c>
    </row>
    <row r="93" spans="1:20" ht="19" x14ac:dyDescent="0.25">
      <c r="A93" s="5" t="s">
        <v>78</v>
      </c>
      <c r="B93" s="1" t="s">
        <v>91</v>
      </c>
      <c r="C93" s="1" t="s">
        <v>91</v>
      </c>
      <c r="D93" s="1">
        <v>-5341000</v>
      </c>
      <c r="E93" s="1" t="s">
        <v>91</v>
      </c>
      <c r="F93" s="1" t="s">
        <v>91</v>
      </c>
      <c r="G93" s="1" t="s">
        <v>91</v>
      </c>
      <c r="H93" s="1">
        <v>-35494000</v>
      </c>
      <c r="I93" s="1">
        <v>-1963000</v>
      </c>
      <c r="J93" s="1">
        <v>-880000</v>
      </c>
      <c r="K93" s="1">
        <v>-1937000</v>
      </c>
      <c r="L93" s="1">
        <v>-26962000</v>
      </c>
      <c r="S93" s="44" t="s">
        <v>141</v>
      </c>
      <c r="T93" s="44"/>
    </row>
    <row r="94" spans="1:20" ht="20" x14ac:dyDescent="0.25">
      <c r="A94" s="6" t="s">
        <v>79</v>
      </c>
      <c r="B94" s="10">
        <v>-28877000</v>
      </c>
      <c r="C94" s="10">
        <v>-15025000</v>
      </c>
      <c r="D94" s="10">
        <v>-20723000</v>
      </c>
      <c r="E94" s="10">
        <v>-23283000</v>
      </c>
      <c r="F94" s="10">
        <v>-135430000</v>
      </c>
      <c r="G94" s="10">
        <v>61836000</v>
      </c>
      <c r="H94" s="10">
        <v>-285393000</v>
      </c>
      <c r="I94" s="10">
        <v>-488373000</v>
      </c>
      <c r="J94" s="10">
        <v>-11379000</v>
      </c>
      <c r="K94" s="10">
        <v>-1557969000</v>
      </c>
      <c r="L94" s="10">
        <v>-30024000</v>
      </c>
      <c r="S94" s="45" t="s">
        <v>142</v>
      </c>
      <c r="T94" s="49">
        <f>[1]Treasuries!$C$8</f>
        <v>4.0480000000000002E-2</v>
      </c>
    </row>
    <row r="95" spans="1:20" ht="20" x14ac:dyDescent="0.25">
      <c r="A95" s="5" t="s">
        <v>80</v>
      </c>
      <c r="B95" s="1">
        <v>-1387000</v>
      </c>
      <c r="C95" s="1">
        <v>-1265000</v>
      </c>
      <c r="D95" s="1">
        <v>-1480000</v>
      </c>
      <c r="E95" s="1">
        <v>-3377000</v>
      </c>
      <c r="F95" s="1">
        <v>-6086000</v>
      </c>
      <c r="G95" s="1">
        <v>-13681000</v>
      </c>
      <c r="H95" s="1">
        <v>-16221000</v>
      </c>
      <c r="I95" s="1">
        <v>-10833000</v>
      </c>
      <c r="J95" s="1">
        <v>-146379000</v>
      </c>
      <c r="K95" s="1">
        <v>-52764000</v>
      </c>
      <c r="L95" s="1">
        <v>-6332000</v>
      </c>
      <c r="S95" s="50" t="s">
        <v>143</v>
      </c>
      <c r="T95" s="51" cm="1">
        <f t="array" ref="T95">_FV(A1,"Beta")</f>
        <v>1.9853000000000001</v>
      </c>
    </row>
    <row r="96" spans="1:20" ht="20" x14ac:dyDescent="0.25">
      <c r="A96" s="5" t="s">
        <v>81</v>
      </c>
      <c r="B96" s="1" t="s">
        <v>91</v>
      </c>
      <c r="C96" s="1" t="s">
        <v>91</v>
      </c>
      <c r="D96" s="1">
        <v>35000000</v>
      </c>
      <c r="E96" s="1">
        <v>199467000</v>
      </c>
      <c r="F96" s="1" t="s">
        <v>91</v>
      </c>
      <c r="G96" s="1" t="s">
        <v>91</v>
      </c>
      <c r="H96" s="1" t="s">
        <v>91</v>
      </c>
      <c r="I96" s="1" t="s">
        <v>91</v>
      </c>
      <c r="J96" s="1" t="s">
        <v>91</v>
      </c>
      <c r="K96" s="1" t="s">
        <v>91</v>
      </c>
      <c r="L96" s="1" t="s">
        <v>91</v>
      </c>
      <c r="S96" s="45" t="s">
        <v>144</v>
      </c>
      <c r="T96" s="49">
        <v>8.4000000000000005E-2</v>
      </c>
    </row>
    <row r="97" spans="1:20" ht="20" x14ac:dyDescent="0.25">
      <c r="A97" s="5" t="s">
        <v>82</v>
      </c>
      <c r="B97" s="1">
        <v>-60000</v>
      </c>
      <c r="C97" s="1">
        <v>-188000</v>
      </c>
      <c r="D97" s="1" t="s">
        <v>91</v>
      </c>
      <c r="E97" s="1" t="s">
        <v>91</v>
      </c>
      <c r="F97" s="1">
        <v>-1258000</v>
      </c>
      <c r="G97" s="1">
        <v>-16718000</v>
      </c>
      <c r="H97" s="1">
        <v>-134647000</v>
      </c>
      <c r="I97" s="1">
        <v>-176985000</v>
      </c>
      <c r="J97" s="1">
        <v>-268653000</v>
      </c>
      <c r="K97" s="1">
        <v>-302774000</v>
      </c>
      <c r="L97" s="1">
        <v>-425727000</v>
      </c>
      <c r="S97" s="47" t="s">
        <v>145</v>
      </c>
      <c r="T97" s="48">
        <f>(T94)+((T95)*(T96-T94))</f>
        <v>0.12688025600000002</v>
      </c>
    </row>
    <row r="98" spans="1:20" ht="19" x14ac:dyDescent="0.25">
      <c r="A98" s="5" t="s">
        <v>83</v>
      </c>
      <c r="B98" s="1" t="s">
        <v>91</v>
      </c>
      <c r="C98" s="1" t="s">
        <v>91</v>
      </c>
      <c r="D98" s="1" t="s">
        <v>91</v>
      </c>
      <c r="E98" s="1" t="s">
        <v>91</v>
      </c>
      <c r="F98" s="1" t="s">
        <v>91</v>
      </c>
      <c r="G98" s="1" t="s">
        <v>91</v>
      </c>
      <c r="H98" s="1" t="s">
        <v>91</v>
      </c>
      <c r="I98" s="1" t="s">
        <v>91</v>
      </c>
      <c r="J98" s="1" t="s">
        <v>91</v>
      </c>
      <c r="K98" s="1" t="s">
        <v>91</v>
      </c>
      <c r="L98" s="1">
        <v>0</v>
      </c>
      <c r="S98" s="44" t="s">
        <v>146</v>
      </c>
      <c r="T98" s="44"/>
    </row>
    <row r="99" spans="1:20" ht="20" x14ac:dyDescent="0.25">
      <c r="A99" s="5" t="s">
        <v>84</v>
      </c>
      <c r="B99" s="1">
        <v>44419000</v>
      </c>
      <c r="C99" s="1">
        <v>1350000</v>
      </c>
      <c r="D99" s="1">
        <v>11717000</v>
      </c>
      <c r="E99" s="1">
        <v>3518000</v>
      </c>
      <c r="F99" s="1">
        <v>13154000</v>
      </c>
      <c r="G99" s="1">
        <v>33838000</v>
      </c>
      <c r="H99" s="1">
        <v>294874000</v>
      </c>
      <c r="I99" s="1">
        <v>547425000</v>
      </c>
      <c r="J99" s="1">
        <v>534314000</v>
      </c>
      <c r="K99" s="1">
        <v>808287000</v>
      </c>
      <c r="L99" s="1">
        <v>-74425000</v>
      </c>
      <c r="S99" s="45" t="s">
        <v>147</v>
      </c>
      <c r="T99" s="46">
        <f>T86+T87</f>
        <v>2390070000</v>
      </c>
    </row>
    <row r="100" spans="1:20" ht="20" x14ac:dyDescent="0.25">
      <c r="A100" s="6" t="s">
        <v>85</v>
      </c>
      <c r="B100" s="10">
        <v>42972000</v>
      </c>
      <c r="C100" s="10">
        <v>-103000</v>
      </c>
      <c r="D100" s="10">
        <v>45237000</v>
      </c>
      <c r="E100" s="10">
        <v>199608000</v>
      </c>
      <c r="F100" s="10">
        <v>5810000</v>
      </c>
      <c r="G100" s="10">
        <v>3439000</v>
      </c>
      <c r="H100" s="10">
        <v>144006000</v>
      </c>
      <c r="I100" s="10">
        <v>359607000</v>
      </c>
      <c r="J100" s="10">
        <v>119282000</v>
      </c>
      <c r="K100" s="10">
        <v>452749000</v>
      </c>
      <c r="L100" s="10">
        <v>-506484000</v>
      </c>
      <c r="S100" s="47" t="s">
        <v>148</v>
      </c>
      <c r="T100" s="48">
        <f>T99/T103</f>
        <v>0.18970811998409357</v>
      </c>
    </row>
    <row r="101" spans="1:20" ht="20" x14ac:dyDescent="0.25">
      <c r="A101" s="5" t="s">
        <v>86</v>
      </c>
      <c r="B101" s="1">
        <v>-27000</v>
      </c>
      <c r="C101" s="1">
        <v>446000</v>
      </c>
      <c r="D101" s="1">
        <v>-3737000</v>
      </c>
      <c r="E101" s="1">
        <v>-3951000</v>
      </c>
      <c r="F101" s="1">
        <v>-6791000</v>
      </c>
      <c r="G101" s="1">
        <v>1155000</v>
      </c>
      <c r="H101" s="1">
        <v>-5995000</v>
      </c>
      <c r="I101" s="1">
        <v>-1846000</v>
      </c>
      <c r="J101" s="1">
        <v>13947000</v>
      </c>
      <c r="K101" s="1">
        <v>-10234000</v>
      </c>
      <c r="L101" s="1">
        <v>-6022000</v>
      </c>
      <c r="S101" s="50" t="s">
        <v>149</v>
      </c>
      <c r="T101" s="52" cm="1">
        <f t="array" ref="T101">_FV(A1,"Market cap",TRUE)</f>
        <v>10208600000</v>
      </c>
    </row>
    <row r="102" spans="1:20" ht="20" x14ac:dyDescent="0.25">
      <c r="A102" s="6" t="s">
        <v>87</v>
      </c>
      <c r="B102" s="10">
        <v>23752000</v>
      </c>
      <c r="C102" s="10">
        <v>1860000</v>
      </c>
      <c r="D102" s="10">
        <v>32864000</v>
      </c>
      <c r="E102" s="10">
        <v>201585000</v>
      </c>
      <c r="F102" s="10">
        <v>-89652000</v>
      </c>
      <c r="G102" s="10">
        <v>133850000</v>
      </c>
      <c r="H102" s="10">
        <v>51543000</v>
      </c>
      <c r="I102" s="10">
        <v>76308000</v>
      </c>
      <c r="J102" s="10">
        <v>800806000</v>
      </c>
      <c r="K102" s="10">
        <v>-463903000</v>
      </c>
      <c r="L102" s="10">
        <v>141082000</v>
      </c>
      <c r="S102" s="47" t="s">
        <v>150</v>
      </c>
      <c r="T102" s="48">
        <f>T101/T103</f>
        <v>0.81029188001590646</v>
      </c>
    </row>
    <row r="103" spans="1:20" ht="20" x14ac:dyDescent="0.25">
      <c r="A103" s="5" t="s">
        <v>88</v>
      </c>
      <c r="B103" s="1">
        <v>11183000</v>
      </c>
      <c r="C103" s="1">
        <v>34935000</v>
      </c>
      <c r="D103" s="1">
        <v>36795000</v>
      </c>
      <c r="E103" s="1">
        <v>69659000</v>
      </c>
      <c r="F103" s="1">
        <v>271244000</v>
      </c>
      <c r="G103" s="1">
        <v>181592000</v>
      </c>
      <c r="H103" s="1">
        <v>320783000</v>
      </c>
      <c r="I103" s="1">
        <v>372326000</v>
      </c>
      <c r="J103" s="1">
        <v>448634000</v>
      </c>
      <c r="K103" s="1">
        <v>1249440000</v>
      </c>
      <c r="L103" s="1">
        <v>785537000</v>
      </c>
      <c r="S103" s="47" t="s">
        <v>151</v>
      </c>
      <c r="T103" s="53">
        <f>T99+T101</f>
        <v>12598670000</v>
      </c>
    </row>
    <row r="104" spans="1:20" ht="20" thickBot="1" x14ac:dyDescent="0.3">
      <c r="A104" s="7" t="s">
        <v>89</v>
      </c>
      <c r="B104" s="11">
        <v>34935000</v>
      </c>
      <c r="C104" s="11">
        <v>36795000</v>
      </c>
      <c r="D104" s="11">
        <v>69659000</v>
      </c>
      <c r="E104" s="11">
        <v>271244000</v>
      </c>
      <c r="F104" s="11">
        <v>181592000</v>
      </c>
      <c r="G104" s="11">
        <v>315442000</v>
      </c>
      <c r="H104" s="11">
        <v>372326000</v>
      </c>
      <c r="I104" s="11">
        <v>448634000</v>
      </c>
      <c r="J104" s="11">
        <v>1249440000</v>
      </c>
      <c r="K104" s="11">
        <v>785537000</v>
      </c>
      <c r="L104" s="11">
        <v>926619000</v>
      </c>
      <c r="S104" s="44" t="s">
        <v>152</v>
      </c>
      <c r="T104" s="44"/>
    </row>
    <row r="105" spans="1:20" ht="21" thickTop="1" x14ac:dyDescent="0.25">
      <c r="A105" s="15" t="s">
        <v>107</v>
      </c>
      <c r="B105" s="1">
        <f t="shared" ref="B105:K105" si="10">((B22*(1-$T$91))+B77+B88+B81)</f>
        <v>-8694864.7961110491</v>
      </c>
      <c r="C105" s="1">
        <f t="shared" si="10"/>
        <v>-4954776.4608491529</v>
      </c>
      <c r="D105" s="1">
        <f t="shared" si="10"/>
        <v>1956100.486723125</v>
      </c>
      <c r="E105" s="1">
        <f t="shared" si="10"/>
        <v>5243954.7779533453</v>
      </c>
      <c r="F105" s="1">
        <f t="shared" si="10"/>
        <v>-9018902.9363513589</v>
      </c>
      <c r="G105" s="1">
        <f t="shared" si="10"/>
        <v>24112376.837296709</v>
      </c>
      <c r="H105" s="1">
        <f t="shared" si="10"/>
        <v>136667824.82801545</v>
      </c>
      <c r="I105" s="1">
        <f t="shared" si="10"/>
        <v>127175729.27499101</v>
      </c>
      <c r="J105" s="1">
        <f t="shared" si="10"/>
        <v>578589854.85922492</v>
      </c>
      <c r="K105" s="1">
        <f t="shared" si="10"/>
        <v>512980427.47039932</v>
      </c>
      <c r="L105" s="1">
        <f>((L22*(1-$T$91))+L77+L88+L81)</f>
        <v>565661173.33808672</v>
      </c>
      <c r="M105" s="24">
        <f>L105*(1+$T$106)</f>
        <v>626033270.56237423</v>
      </c>
      <c r="N105" s="24">
        <f t="shared" ref="N105:Q105" si="11">M105*(1+$T$106)</f>
        <v>692848783.55400205</v>
      </c>
      <c r="O105" s="24">
        <f t="shared" si="11"/>
        <v>766795407.60035706</v>
      </c>
      <c r="P105" s="24">
        <f t="shared" si="11"/>
        <v>848634234.58860672</v>
      </c>
      <c r="Q105" s="24">
        <f t="shared" si="11"/>
        <v>939207586.505445</v>
      </c>
      <c r="R105" s="25" t="s">
        <v>108</v>
      </c>
      <c r="S105" s="54" t="s">
        <v>109</v>
      </c>
      <c r="T105" s="55">
        <f>(T100*T92)+(T102*T97)</f>
        <v>0.10387971633932352</v>
      </c>
    </row>
    <row r="106" spans="1:20" ht="20" customHeight="1" x14ac:dyDescent="0.25">
      <c r="A106" s="15" t="s">
        <v>110</v>
      </c>
      <c r="B106" s="16" t="e">
        <f t="shared" ref="B106:K106" si="12">(B107/A107)-1</f>
        <v>#VALUE!</v>
      </c>
      <c r="C106" s="16">
        <f t="shared" si="12"/>
        <v>-0.87564523697794461</v>
      </c>
      <c r="D106" s="16">
        <f t="shared" si="12"/>
        <v>-5.722641509433962</v>
      </c>
      <c r="E106" s="16">
        <f t="shared" si="12"/>
        <v>2.346384338793448</v>
      </c>
      <c r="F106" s="16">
        <f t="shared" si="12"/>
        <v>-1.1183142311365808</v>
      </c>
      <c r="G106" s="16">
        <f t="shared" si="12"/>
        <v>-55.756811301715437</v>
      </c>
      <c r="H106" s="16">
        <f t="shared" si="12"/>
        <v>1.6329610791685094</v>
      </c>
      <c r="I106" s="16">
        <f t="shared" si="12"/>
        <v>0.32758705161854773</v>
      </c>
      <c r="J106" s="16">
        <f t="shared" si="12"/>
        <v>2.537376304177057</v>
      </c>
      <c r="K106" s="16">
        <f t="shared" si="12"/>
        <v>-7.0920136042660897E-2</v>
      </c>
      <c r="L106" s="16">
        <f>(L107/K107)-1</f>
        <v>8.0198145275521604E-2</v>
      </c>
      <c r="M106" s="26">
        <v>686400000</v>
      </c>
      <c r="N106" s="26">
        <v>785800000</v>
      </c>
      <c r="O106" s="26">
        <v>907200000</v>
      </c>
      <c r="P106" s="26">
        <v>1081000000</v>
      </c>
      <c r="Q106" s="26">
        <v>1257000000</v>
      </c>
      <c r="R106" s="25" t="s">
        <v>111</v>
      </c>
      <c r="S106" s="56" t="s">
        <v>112</v>
      </c>
      <c r="T106" s="57">
        <f>(SUM(M4:Q4)/5)</f>
        <v>0.10672837392748566</v>
      </c>
    </row>
    <row r="107" spans="1:20" ht="19" x14ac:dyDescent="0.25">
      <c r="A107" s="14" t="s">
        <v>93</v>
      </c>
      <c r="B107" s="1">
        <v>-4262000</v>
      </c>
      <c r="C107" s="1">
        <v>-530000</v>
      </c>
      <c r="D107" s="1">
        <v>2503000</v>
      </c>
      <c r="E107" s="1">
        <v>8376000</v>
      </c>
      <c r="F107" s="1">
        <v>-991000</v>
      </c>
      <c r="G107" s="1">
        <v>54264000</v>
      </c>
      <c r="H107" s="1">
        <v>142875000</v>
      </c>
      <c r="I107" s="1">
        <v>189679000</v>
      </c>
      <c r="J107" s="1">
        <v>670966000</v>
      </c>
      <c r="K107" s="1">
        <v>623381000</v>
      </c>
      <c r="L107" s="1">
        <v>673375000</v>
      </c>
      <c r="M107" s="25"/>
      <c r="N107" s="25"/>
      <c r="O107" s="25"/>
      <c r="P107" s="25"/>
      <c r="Q107" s="38">
        <f>Q106*(1+T107)/(T108-T107)</f>
        <v>16334047075.644562</v>
      </c>
      <c r="R107" s="39" t="s">
        <v>153</v>
      </c>
      <c r="S107" s="58" t="s">
        <v>154</v>
      </c>
      <c r="T107" s="59">
        <v>2.5000000000000001E-2</v>
      </c>
    </row>
    <row r="108" spans="1:20" ht="19" x14ac:dyDescent="0.25">
      <c r="A108" s="5"/>
      <c r="B108" s="13"/>
      <c r="C108" s="13"/>
      <c r="D108" s="13"/>
      <c r="E108" s="13"/>
      <c r="F108" s="13"/>
      <c r="G108" s="13"/>
      <c r="H108" s="13"/>
      <c r="I108" s="13"/>
      <c r="J108" s="13"/>
      <c r="K108" s="13"/>
      <c r="L108" s="13"/>
      <c r="M108" s="38">
        <f t="shared" ref="M108:P108" si="13">M107+M106</f>
        <v>686400000</v>
      </c>
      <c r="N108" s="38">
        <f t="shared" si="13"/>
        <v>785800000</v>
      </c>
      <c r="O108" s="38">
        <f t="shared" si="13"/>
        <v>907200000</v>
      </c>
      <c r="P108" s="38">
        <f t="shared" si="13"/>
        <v>1081000000</v>
      </c>
      <c r="Q108" s="38">
        <f>Q107+Q106</f>
        <v>17591047075.644562</v>
      </c>
      <c r="R108" s="39" t="s">
        <v>151</v>
      </c>
      <c r="S108" s="60" t="s">
        <v>155</v>
      </c>
      <c r="T108" s="57">
        <f>T105</f>
        <v>0.10387971633932352</v>
      </c>
    </row>
    <row r="109" spans="1:20" ht="19" x14ac:dyDescent="0.25">
      <c r="M109" s="61" t="s">
        <v>156</v>
      </c>
      <c r="N109" s="61"/>
    </row>
    <row r="110" spans="1:20" ht="20" x14ac:dyDescent="0.25">
      <c r="M110" s="62" t="s">
        <v>157</v>
      </c>
      <c r="N110" s="52">
        <f>NPV(T108,M108,N108,O108,P108,Q108)</f>
        <v>13401170943.810709</v>
      </c>
    </row>
    <row r="111" spans="1:20" ht="20" x14ac:dyDescent="0.25">
      <c r="M111" s="62" t="s">
        <v>158</v>
      </c>
      <c r="N111" s="52">
        <f>L40</f>
        <v>1171691000</v>
      </c>
    </row>
    <row r="112" spans="1:20" ht="20" x14ac:dyDescent="0.25">
      <c r="M112" s="62" t="s">
        <v>147</v>
      </c>
      <c r="N112" s="52">
        <f>T99</f>
        <v>2390070000</v>
      </c>
    </row>
    <row r="113" spans="13:14" ht="20" x14ac:dyDescent="0.25">
      <c r="M113" s="62" t="s">
        <v>159</v>
      </c>
      <c r="N113" s="52">
        <f>N110+N111-N112</f>
        <v>12182791943.810709</v>
      </c>
    </row>
    <row r="114" spans="13:14" ht="20" x14ac:dyDescent="0.25">
      <c r="M114" s="62" t="s">
        <v>160</v>
      </c>
      <c r="N114" s="62">
        <f>L34*(1+(5*R16))</f>
        <v>133536316.98287968</v>
      </c>
    </row>
    <row r="115" spans="13:14" ht="20" x14ac:dyDescent="0.25">
      <c r="M115" s="63" t="s">
        <v>161</v>
      </c>
      <c r="N115" s="64">
        <f>N113/N114</f>
        <v>91.232049970141304</v>
      </c>
    </row>
    <row r="116" spans="13:14" ht="20" x14ac:dyDescent="0.25">
      <c r="M116" s="62" t="s">
        <v>162</v>
      </c>
      <c r="N116" s="65" cm="1">
        <f t="array" ref="N116">_FV(A1,"Price")</f>
        <v>82.76</v>
      </c>
    </row>
    <row r="117" spans="13:14" ht="20" x14ac:dyDescent="0.25">
      <c r="M117" s="63" t="s">
        <v>163</v>
      </c>
      <c r="N117" s="66">
        <f>N115/N116-1</f>
        <v>0.10236889765757984</v>
      </c>
    </row>
    <row r="118" spans="13:14" ht="20" x14ac:dyDescent="0.25">
      <c r="M118" s="63" t="s">
        <v>164</v>
      </c>
      <c r="N118" s="67" t="str">
        <f>IF(N115&gt;N116,"BUY","SELL")</f>
        <v>BUY</v>
      </c>
    </row>
  </sheetData>
  <mergeCells count="6">
    <mergeCell ref="M109:N109"/>
    <mergeCell ref="S83:T83"/>
    <mergeCell ref="S84:T84"/>
    <mergeCell ref="S93:T93"/>
    <mergeCell ref="S98:T98"/>
    <mergeCell ref="S104:T104"/>
  </mergeCells>
  <hyperlinks>
    <hyperlink ref="A1" r:id="rId1" tooltip="https://roic.ai/company/ETSY" display="ROIC.AI | ETSY"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370637/000137063716000032/0001370637-16-000032-index.htm" xr:uid="{00000000-0004-0000-0000-00000A000000}"/>
    <hyperlink ref="E74" r:id="rId9" tooltip="https://www.sec.gov/Archives/edgar/data/1370637/000137063716000032/0001370637-16-000032-index.htm" xr:uid="{00000000-0004-0000-0000-00000B000000}"/>
    <hyperlink ref="F36" r:id="rId10" tooltip="https://www.sec.gov/Archives/edgar/data/1370637/000137063717000018/0001370637-17-000018-index.htm" xr:uid="{00000000-0004-0000-0000-00000D000000}"/>
    <hyperlink ref="F74" r:id="rId11" tooltip="https://www.sec.gov/Archives/edgar/data/1370637/000137063717000018/0001370637-17-000018-index.htm" xr:uid="{00000000-0004-0000-0000-00000E000000}"/>
    <hyperlink ref="G36" r:id="rId12" tooltip="https://www.sec.gov/Archives/edgar/data/1370637/000137063718000020/0001370637-18-000020-index.htm" xr:uid="{00000000-0004-0000-0000-000010000000}"/>
    <hyperlink ref="G74" r:id="rId13" tooltip="https://www.sec.gov/Archives/edgar/data/1370637/000137063718000020/0001370637-18-000020-index.htm" xr:uid="{00000000-0004-0000-0000-000011000000}"/>
    <hyperlink ref="H36" r:id="rId14" tooltip="https://www.sec.gov/Archives/edgar/data/1370637/000137063719000028/0001370637-19-000028-index.htm" xr:uid="{00000000-0004-0000-0000-000013000000}"/>
    <hyperlink ref="H74" r:id="rId15" tooltip="https://www.sec.gov/Archives/edgar/data/1370637/000137063719000028/0001370637-19-000028-index.htm" xr:uid="{00000000-0004-0000-0000-000014000000}"/>
    <hyperlink ref="I36" r:id="rId16" tooltip="https://www.sec.gov/Archives/edgar/data/1370637/000137063720000046/0001370637-20-000046-index.htm" xr:uid="{00000000-0004-0000-0000-000016000000}"/>
    <hyperlink ref="I74" r:id="rId17" tooltip="https://www.sec.gov/Archives/edgar/data/1370637/000137063720000046/0001370637-20-000046-index.htm" xr:uid="{00000000-0004-0000-0000-000017000000}"/>
    <hyperlink ref="J36" r:id="rId18" tooltip="https://www.sec.gov/Archives/edgar/data/1370637/000137063721000012/0001370637-21-000012-index.htm" xr:uid="{00000000-0004-0000-0000-000019000000}"/>
    <hyperlink ref="J74" r:id="rId19" tooltip="https://www.sec.gov/Archives/edgar/data/1370637/000137063721000012/0001370637-21-000012-index.htm" xr:uid="{00000000-0004-0000-0000-00001A000000}"/>
    <hyperlink ref="K36" r:id="rId20" tooltip="https://www.sec.gov/Archives/edgar/data/1370637/000137063722000024/0001370637-22-000024-index.htm" xr:uid="{00000000-0004-0000-0000-00001C000000}"/>
    <hyperlink ref="K74" r:id="rId21" tooltip="https://www.sec.gov/Archives/edgar/data/1370637/000137063722000024/0001370637-22-000024-index.htm" xr:uid="{00000000-0004-0000-0000-00001D000000}"/>
    <hyperlink ref="L36" r:id="rId22" tooltip="https://www.sec.gov/Archives/edgar/data/1370637/000137063723000017/0001370637-23-000017-index.htm" xr:uid="{00000000-0004-0000-0000-00001F000000}"/>
    <hyperlink ref="L74" r:id="rId23" tooltip="https://www.sec.gov/Archives/edgar/data/1370637/000137063723000017/0001370637-23-000017-index.htm" xr:uid="{00000000-0004-0000-0000-000020000000}"/>
    <hyperlink ref="M1" r:id="rId24" display="https://finbox.com/NASDAQGS:ETSY/explorer/revenue_proj/" xr:uid="{FE9C5474-7A76-9448-9043-FE02CB0AF7E8}"/>
    <hyperlink ref="R106" r:id="rId25" xr:uid="{B47A4BFF-DC33-EA41-BF34-48E4C5AD3D01}"/>
  </hyperlinks>
  <pageMargins left="0.7" right="0.7" top="0.75" bottom="0.75" header="0.3" footer="0.3"/>
  <drawing r:id="rId2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2023-05-04T16:42:23Z</dcterms:created>
  <dcterms:modified xsi:type="dcterms:W3CDTF">2023-07-10T05:16:55Z</dcterms:modified>
</cp:coreProperties>
</file>