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FC8F0CFD-089C-B745-BED2-024D342D1C4C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externalReferences>
    <externalReference r:id="rId2"/>
    <externalReference r:id="rId3"/>
  </externalReferences>
  <definedNames>
    <definedName name="_xlchart.v1.0" hidden="1">'Sheet 1'!$A$107</definedName>
    <definedName name="_xlchart.v1.1" hidden="1">'Sheet 1'!$A$28</definedName>
    <definedName name="_xlchart.v1.2" hidden="1">'Sheet 1'!$B$107:$F$107</definedName>
    <definedName name="_xlchart.v1.3" hidden="1">'Sheet 1'!$B$28:$F$28</definedName>
    <definedName name="_xlchart.v1.4" hidden="1">'Sheet 1'!$B$3:$F$3</definedName>
    <definedName name="_xlchart.v2.10" hidden="1">'Sheet 1'!$B$3:$F$3</definedName>
    <definedName name="_xlchart.v2.5" hidden="1">'Sheet 1'!$A$107</definedName>
    <definedName name="_xlchart.v2.6" hidden="1">'Sheet 1'!$A$28</definedName>
    <definedName name="_xlchart.v2.7" hidden="1">'Sheet 1'!$A$3</definedName>
    <definedName name="_xlchart.v2.8" hidden="1">'Sheet 1'!$B$107:$F$107</definedName>
    <definedName name="_xlchart.v2.9" hidden="1">'Sheet 1'!$B$28:$F$28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" l="1" a="1"/>
  <c r="H116" i="1" s="1"/>
  <c r="H105" i="1"/>
  <c r="I105" i="1" s="1"/>
  <c r="J105" i="1" s="1"/>
  <c r="K105" i="1" s="1"/>
  <c r="G105" i="1"/>
  <c r="N101" i="1" a="1"/>
  <c r="N101" i="1" s="1"/>
  <c r="N95" i="1" a="1"/>
  <c r="N95" i="1" s="1"/>
  <c r="L16" i="1"/>
  <c r="H114" i="1" s="1"/>
  <c r="O13" i="1"/>
  <c r="N13" i="1"/>
  <c r="M13" i="1"/>
  <c r="L13" i="1"/>
  <c r="O10" i="1"/>
  <c r="N10" i="1"/>
  <c r="M10" i="1"/>
  <c r="L10" i="1"/>
  <c r="N7" i="1"/>
  <c r="M7" i="1"/>
  <c r="L7" i="1"/>
  <c r="H111" i="1"/>
  <c r="J108" i="1"/>
  <c r="I108" i="1"/>
  <c r="H108" i="1"/>
  <c r="G108" i="1"/>
  <c r="N91" i="1"/>
  <c r="N90" i="1"/>
  <c r="N89" i="1"/>
  <c r="N87" i="1"/>
  <c r="N86" i="1"/>
  <c r="N99" i="1" s="1"/>
  <c r="N85" i="1"/>
  <c r="N88" i="1" s="1"/>
  <c r="N92" i="1" s="1"/>
  <c r="K30" i="1"/>
  <c r="J30" i="1"/>
  <c r="I30" i="1"/>
  <c r="H30" i="1"/>
  <c r="G30" i="1"/>
  <c r="K29" i="1"/>
  <c r="J29" i="1"/>
  <c r="I29" i="1"/>
  <c r="H29" i="1"/>
  <c r="G29" i="1"/>
  <c r="K21" i="1"/>
  <c r="J21" i="1"/>
  <c r="I21" i="1"/>
  <c r="H21" i="1"/>
  <c r="G21" i="1"/>
  <c r="K20" i="1"/>
  <c r="J20" i="1"/>
  <c r="I20" i="1"/>
  <c r="H20" i="1"/>
  <c r="G20" i="1"/>
  <c r="L19" i="1"/>
  <c r="O7" i="1"/>
  <c r="O4" i="1"/>
  <c r="N4" i="1"/>
  <c r="M4" i="1"/>
  <c r="L4" i="1"/>
  <c r="K4" i="1"/>
  <c r="J4" i="1"/>
  <c r="I4" i="1"/>
  <c r="H4" i="1"/>
  <c r="G4" i="1"/>
  <c r="B105" i="1"/>
  <c r="AU105" i="1"/>
  <c r="F105" i="1"/>
  <c r="E105" i="1"/>
  <c r="D105" i="1"/>
  <c r="C105" i="1"/>
  <c r="F106" i="1"/>
  <c r="E106" i="1"/>
  <c r="D106" i="1"/>
  <c r="C106" i="1"/>
  <c r="AU89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F4" i="1"/>
  <c r="E4" i="1"/>
  <c r="D4" i="1"/>
  <c r="C4" i="1"/>
  <c r="N106" i="1" l="1"/>
  <c r="N103" i="1"/>
  <c r="N100" i="1" s="1"/>
  <c r="H112" i="1"/>
  <c r="O19" i="1"/>
  <c r="N102" i="1"/>
  <c r="N19" i="1"/>
  <c r="M19" i="1"/>
  <c r="O22" i="1"/>
  <c r="O16" i="1"/>
  <c r="N22" i="1"/>
  <c r="N16" i="1"/>
  <c r="M16" i="1"/>
  <c r="N94" i="1" l="1"/>
  <c r="N97" i="1" s="1"/>
  <c r="N105" i="1" s="1"/>
  <c r="N108" i="1" s="1"/>
  <c r="K107" i="1" l="1"/>
  <c r="K108" i="1" s="1"/>
  <c r="H110" i="1"/>
  <c r="H113" i="1" s="1"/>
  <c r="H115" i="1" s="1"/>
  <c r="H118" i="1" l="1"/>
  <c r="H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<sst xmlns="http://schemas.openxmlformats.org/spreadsheetml/2006/main" count="293" uniqueCount="167">
  <si>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</si>
  <si>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</si>
  <si>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</si>
  <si>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</si>
  <si>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</si>
  <si>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</si>
  <si>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</si>
  <si>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</si>
  <si>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</si>
  <si>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</si>
  <si>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</si>
  <si>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</si>
  <si>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</si>
  <si>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</si>
  <si>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</si>
  <si>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</si>
  <si>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</si>
  <si>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</si>
  <si>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</si>
  <si>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</si>
  <si>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</si>
  <si>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</si>
  <si>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</si>
  <si>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</si>
  <si>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</si>
  <si>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</si>
  <si>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</si>
  <si>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</si>
  <si>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</si>
  <si>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</si>
  <si>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</si>
  <si>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</si>
  <si>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</si>
  <si>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</si>
  <si>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</si>
  <si>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</si>
  <si>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</si>
  <si>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</si>
  <si>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</si>
  <si>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</si>
  <si>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</si>
  <si>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</si>
  <si>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</si>
  <si>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</si>
  <si>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</si>
  <si>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</si>
  <si>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</si>
  <si>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</si>
  <si>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</si>
  <si>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</si>
  <si>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</si>
  <si>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</si>
  <si>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</si>
  <si>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</si>
  <si>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</si>
  <si>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</si>
  <si>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</si>
  <si>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</si>
  <si>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</si>
  <si>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</si>
  <si>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</si>
  <si>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</si>
  <si>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</si>
  <si>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</si>
  <si>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</si>
  <si>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</si>
  <si>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</si>
  <si>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</si>
  <si>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</si>
  <si>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</si>
  <si>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</si>
  <si>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</si>
  <si>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</si>
  <si>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</si>
  <si>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</si>
  <si>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</si>
  <si>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</si>
  <si>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</si>
  <si>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</si>
  <si>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</si>
  <si>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</si>
  <si>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</si>
  <si>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</si>
  <si>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</si>
  <si>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</si>
  <si>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</si>
  <si>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</si>
  <si>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</si>
  <si>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</si>
  <si>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</si>
  <si>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</si>
  <si>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</si>
  <si>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</si>
  <si>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</si>
  <si>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</si>
  <si>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</si>
  <si>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</si>
  <si>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</si>
  <si>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</si>
  <si>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</si>
  <si>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</si>
  <si>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</si>
  <si>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</si>
  <si>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</si>
  <si>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</si>
  <si>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</si>
  <si>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Levered FCF Growth YoY</t>
  </si>
  <si>
    <t>Unlevered FCF Forecast</t>
  </si>
  <si>
    <t>FCF Growth Rate</t>
  </si>
  <si>
    <t>Unlevered FCF</t>
  </si>
  <si>
    <t>Unlevered FCF Proj</t>
  </si>
  <si>
    <t>WACC</t>
  </si>
  <si>
    <t>Levered FCF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</si>
  <si>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</si>
  <si>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</si>
  <si>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</si>
  <si>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</si>
  <si>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</si>
  <si>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</si>
  <si>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</si>
  <si>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</si>
  <si>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</si>
  <si>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</si>
  <si>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</si>
  <si>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</si>
  <si>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P/S</t>
  </si>
  <si>
    <t>P/E</t>
  </si>
  <si>
    <t>P/FCF</t>
  </si>
  <si>
    <t>Net Cash</t>
  </si>
  <si>
    <t>Forward P/S</t>
  </si>
  <si>
    <t>Forward P/E</t>
  </si>
  <si>
    <t>Forward P/FCF</t>
  </si>
  <si>
    <t>Dividend Yield</t>
  </si>
  <si>
    <t>FCF Yield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</si>
  <si>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</si>
  <si>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</si>
  <si>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</si>
  <si>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</si>
  <si>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</si>
  <si>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</si>
  <si>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</si>
  <si>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</si>
  <si>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</si>
  <si>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</si>
  <si>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</si>
  <si>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</si>
  <si>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</si>
  <si>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</si>
  <si>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</si>
  <si>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</si>
  <si>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</si>
  <si>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</si>
  <si>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</si>
  <si>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</si>
  <si>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</si>
  <si>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</si>
  <si>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</si>
  <si>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</si>
  <si>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</si>
  <si>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</si>
  <si>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</si>
  <si>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</si>
  <si>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</si>
  <si>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</si>
  <si>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</si>
  <si>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</si>
  <si>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Share Dilution (4yr)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</si>
</sst>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0.0"/>
    <numFmt numFmtId="168" formatCode="0.0%"/>
    <numFmt numFmtId="169" formatCode="&quot;$&quot;#,##0"/>
    <numFmt numFmtId="170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67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164" fontId="10" fillId="5" borderId="0" xfId="0" applyNumberFormat="1" applyFont="1" applyFill="1"/>
    <xf numFmtId="0" fontId="0" fillId="4" borderId="0" xfId="0" applyFill="1"/>
    <xf numFmtId="9" fontId="13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164" fontId="10" fillId="0" borderId="0" xfId="0" applyNumberFormat="1" applyFont="1"/>
    <xf numFmtId="164" fontId="10" fillId="4" borderId="0" xfId="0" applyNumberFormat="1" applyFont="1" applyFill="1"/>
    <xf numFmtId="0" fontId="12" fillId="6" borderId="0" xfId="0" applyFont="1" applyFill="1" applyAlignment="1">
      <alignment horizontal="left" vertical="center" wrapText="1"/>
    </xf>
    <xf numFmtId="10" fontId="12" fillId="6" borderId="0" xfId="0" applyNumberFormat="1" applyFont="1" applyFill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0" fontId="1" fillId="0" borderId="0" xfId="0" applyFont="1" applyAlignment="1">
      <alignment indent="1"/>
    </xf>
    <xf numFmtId="0" fontId="14" fillId="0" borderId="4" xfId="0" applyFont="1" applyBorder="1"/>
    <xf numFmtId="9" fontId="11" fillId="0" borderId="11" xfId="0" applyNumberFormat="1" applyFont="1" applyBorder="1" applyAlignment="1">
      <alignment horizontal="center"/>
    </xf>
    <xf numFmtId="167" fontId="11" fillId="0" borderId="11" xfId="0" applyNumberFormat="1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164" fontId="14" fillId="0" borderId="2" xfId="0" applyNumberFormat="1" applyFont="1" applyBorder="1"/>
    <xf numFmtId="164" fontId="1" fillId="0" borderId="6" xfId="0" applyNumberFormat="1" applyFont="1" applyBorder="1" applyAlignment="1">
      <alignment horizontal="center"/>
    </xf>
    <xf numFmtId="167" fontId="11" fillId="0" borderId="6" xfId="0" applyNumberFormat="1" applyFont="1" applyBorder="1" applyAlignment="1">
      <alignment horizontal="center"/>
    </xf>
    <xf numFmtId="165" fontId="10" fillId="0" borderId="12" xfId="0" applyNumberFormat="1" applyFont="1" applyBorder="1"/>
    <xf numFmtId="168" fontId="11" fillId="0" borderId="5" xfId="0" applyNumberFormat="1" applyFont="1" applyBorder="1" applyAlignment="1">
      <alignment horizontal="center"/>
    </xf>
    <xf numFmtId="168" fontId="11" fillId="0" borderId="8" xfId="0" applyNumberFormat="1" applyFont="1" applyBorder="1" applyAlignment="1">
      <alignment horizontal="center"/>
    </xf>
    <xf numFmtId="164" fontId="14" fillId="0" borderId="3" xfId="0" applyNumberFormat="1" applyFont="1" applyBorder="1"/>
    <xf numFmtId="165" fontId="10" fillId="0" borderId="0" xfId="0" applyNumberFormat="1" applyFont="1"/>
    <xf numFmtId="0" fontId="15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164" fontId="1" fillId="5" borderId="0" xfId="0" applyNumberFormat="1" applyFont="1" applyFill="1"/>
    <xf numFmtId="0" fontId="0" fillId="4" borderId="0" xfId="0" applyFill="1" applyAlignment="1">
      <alignment horizontal="left"/>
    </xf>
    <xf numFmtId="0" fontId="13" fillId="5" borderId="0" xfId="0" applyFont="1" applyFill="1" applyAlignment="1">
      <alignment wrapText="1"/>
    </xf>
    <xf numFmtId="10" fontId="1" fillId="5" borderId="0" xfId="0" applyNumberFormat="1" applyFont="1" applyFill="1" applyAlignment="1">
      <alignment horizontal="right" vertical="center"/>
    </xf>
    <xf numFmtId="0" fontId="13" fillId="4" borderId="0" xfId="0" applyFont="1" applyFill="1"/>
    <xf numFmtId="0" fontId="1" fillId="6" borderId="0" xfId="0" applyFont="1" applyFill="1" applyAlignment="1">
      <alignment horizontal="center"/>
    </xf>
    <xf numFmtId="164" fontId="1" fillId="4" borderId="0" xfId="0" applyNumberFormat="1" applyFont="1" applyFill="1" applyAlignment="1">
      <alignment wrapText="1"/>
    </xf>
    <xf numFmtId="164" fontId="1" fillId="6" borderId="0" xfId="0" applyNumberFormat="1" applyFont="1" applyFill="1" applyAlignment="1">
      <alignment wrapText="1"/>
    </xf>
    <xf numFmtId="169" fontId="12" fillId="6" borderId="0" xfId="0" applyNumberFormat="1" applyFont="1" applyFill="1"/>
    <xf numFmtId="170" fontId="1" fillId="4" borderId="0" xfId="0" applyNumberFormat="1" applyFont="1" applyFill="1"/>
    <xf numFmtId="9" fontId="12" fillId="6" borderId="0" xfId="1" applyFont="1" applyFill="1" applyBorder="1"/>
    <xf numFmtId="0" fontId="12" fillId="6" borderId="0" xfId="0" applyFont="1" applyFill="1" applyAlignment="1">
      <alignment horizontal="right"/>
    </xf>
    <xf numFmtId="166" fontId="1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GlobalFoundries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70764119601327E-2"/>
          <c:y val="0.13198136377531122"/>
          <c:w val="0.85144186046511627"/>
          <c:h val="0.7237877494228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1'!$B$3:$F$3</c:f>
              <c:numCache>
                <c:formatCode>#,###,,;\(#,###,,\);\ \-\ \-</c:formatCode>
                <c:ptCount val="5"/>
                <c:pt idx="0">
                  <c:v>6196039000</c:v>
                </c:pt>
                <c:pt idx="1">
                  <c:v>5812788000</c:v>
                </c:pt>
                <c:pt idx="2">
                  <c:v>4850505000</c:v>
                </c:pt>
                <c:pt idx="3">
                  <c:v>6585079000</c:v>
                </c:pt>
                <c:pt idx="4">
                  <c:v>8108000000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7-4B42-AEA6-C366FE9AAC58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1'!$B$28:$F$28</c:f>
              <c:numCache>
                <c:formatCode>#,###,,;\(#,###,,\);\ \-\ \-</c:formatCode>
                <c:ptCount val="5"/>
                <c:pt idx="0">
                  <c:v>-2701603000</c:v>
                </c:pt>
                <c:pt idx="1">
                  <c:v>-1371186000</c:v>
                </c:pt>
                <c:pt idx="2">
                  <c:v>-1347571000</c:v>
                </c:pt>
                <c:pt idx="3">
                  <c:v>-250313000</c:v>
                </c:pt>
                <c:pt idx="4">
                  <c:v>1448000000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7-4B42-AEA6-C366FE9AAC58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1'!$B$107:$F$107</c:f>
              <c:numCache>
                <c:formatCode>#,###,,;\(#,###,,\);\ \-\ \-</c:formatCode>
                <c:ptCount val="5"/>
                <c:pt idx="0">
                  <c:v>-1049327000</c:v>
                </c:pt>
                <c:pt idx="1">
                  <c:v>-275999000</c:v>
                </c:pt>
                <c:pt idx="2">
                  <c:v>413409000</c:v>
                </c:pt>
                <c:pt idx="3">
                  <c:v>1072694000</c:v>
                </c:pt>
                <c:pt idx="4">
                  <c:v>-435000000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F7-4B42-AEA6-C366FE9A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64963647"/>
        <c:axId val="1980856847"/>
      </c:barChart>
      <c:catAx>
        <c:axId val="196496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56847"/>
        <c:crosses val="autoZero"/>
        <c:auto val="1"/>
        <c:lblAlgn val="ctr"/>
        <c:lblOffset val="100"/>
        <c:noMultiLvlLbl val="0"/>
      </c:catAx>
      <c:valAx>
        <c:axId val="198085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60373557956415"/>
          <c:y val="0.89960239909770334"/>
          <c:w val="0.31534402385748295"/>
          <c:h val="5.488220598931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108</xdr:row>
      <xdr:rowOff>19050</xdr:rowOff>
    </xdr:from>
    <xdr:to>
      <xdr:col>13</xdr:col>
      <xdr:colOff>1587500</xdr:colOff>
      <xdr:row>129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5018F-A33B-CF15-07E3-08069EC94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Technology/Software/Twilio.xlsx" TargetMode="External"/><Relationship Id="rId1" Type="http://schemas.openxmlformats.org/officeDocument/2006/relationships/externalLinkPath" Target="/Users/bina/Documents/financial-modeling/Technology/Software/Twili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</sheetNames>
    <sheetDataSet>
      <sheetData sheetId="0">
        <row r="3">
          <cell r="A3" t="str">
            <v>Revenue</v>
          </cell>
          <cell r="B3">
            <v>49920000</v>
          </cell>
          <cell r="C3">
            <v>88846000</v>
          </cell>
          <cell r="D3">
            <v>166919000</v>
          </cell>
          <cell r="E3">
            <v>277335000</v>
          </cell>
          <cell r="F3">
            <v>399020000</v>
          </cell>
          <cell r="G3">
            <v>650067000</v>
          </cell>
          <cell r="H3">
            <v>1134468000</v>
          </cell>
          <cell r="I3">
            <v>1761776000</v>
          </cell>
          <cell r="J3">
            <v>2841839000</v>
          </cell>
          <cell r="K3">
            <v>3826321000</v>
          </cell>
        </row>
        <row r="19">
          <cell r="A19" t="str">
            <v>EBITDA</v>
          </cell>
          <cell r="B19">
            <v>-26244000</v>
          </cell>
          <cell r="C19">
            <v>-24989000</v>
          </cell>
          <cell r="D19">
            <v>-31156000</v>
          </cell>
          <cell r="E19">
            <v>-32683000</v>
          </cell>
          <cell r="F19">
            <v>-44239000</v>
          </cell>
          <cell r="G19">
            <v>-95063000</v>
          </cell>
          <cell r="H19">
            <v>-228593000</v>
          </cell>
          <cell r="I19">
            <v>-354766000</v>
          </cell>
          <cell r="J19">
            <v>-702551000</v>
          </cell>
          <cell r="K19">
            <v>-931340000</v>
          </cell>
        </row>
        <row r="107">
          <cell r="A107" t="str">
            <v>Levered FCF</v>
          </cell>
          <cell r="B107">
            <v>-26074000</v>
          </cell>
          <cell r="C107">
            <v>-22530000</v>
          </cell>
          <cell r="D107">
            <v>-29380000</v>
          </cell>
          <cell r="E107">
            <v>-16395000</v>
          </cell>
          <cell r="F107">
            <v>-30078000</v>
          </cell>
          <cell r="G107">
            <v>-16672000</v>
          </cell>
          <cell r="H107">
            <v>-53242000</v>
          </cell>
          <cell r="I107">
            <v>-26479000</v>
          </cell>
          <cell r="J107">
            <v>-148213000</v>
          </cell>
          <cell r="K107">
            <v>-300129000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3.8190000000000002E-2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https://www.bing.com/financeapi/forcetrigger?t=c3orqh&amp;q=XNAS%3aGFS&amp;form=skydnc</v>
    <v>Learn more on Bing</v>
  </rv>
  <rv s="1">
    <v>0</v>
    <v>GLOBALFOUNDRIES INC. (XNAS:GFS)</v>
    <v>2</v>
    <v>3</v>
    <v>Finance</v>
    <v>4</v>
    <v>en-US</v>
    <v>c3orqh</v>
    <v>268435456</v>
    <v>1</v>
    <v>Powered by Refinitiv</v>
    <v>72.5</v>
    <v>36.81</v>
    <v>1.885</v>
    <v>0.16</v>
    <v>2.4779999999999997E-3</v>
    <v>USD</v>
    <v>GlobalFoundries Inc. is a provider of semiconductor manufacturing services. The Company is specialized in manufacturing processes, a library consisting of intellectual property (IP) titles and differentiated transistor and device technology. The Company manufactures a range of semiconductor devices, including microprocessors, mobile application processors, baseband processors, network processors, radio frequency modems, microcontrollers, and power management units. The Company serves a range of customers, including the global leaders in Integrated circuit (IC) design, and provide optimized solutions for the function, performance and power requirements of critical applications. Its technology portfolio includes a range of differentiated technology platforms, including radio frequency (RF) Silicon-on-Insulator (SOI) solutions, Fin Field-Effect Transistor (FinFET), Metal-Oxide Semiconductor (CMOS), Fully-Depleted SOI (FDX), Silicon Germanium (SiGe) products and Silicon Photonics (SiPh).</v>
    <v>14000</v>
    <v>Nasdaq Stock Market</v>
    <v>XNAS</v>
    <v>XNAS</v>
    <v>400 STONEBREAK ROAD EXTENSION, MALTA, NY, 12020 US</v>
    <v>65.344999999999999</v>
    <v>Semiconductors &amp; Semiconductor Equipment</v>
    <v>Stock</v>
    <v>45110.729209328128</v>
    <v>0</v>
    <v>63.74</v>
    <v>35722237200</v>
    <v>GLOBALFOUNDRIES INC.</v>
    <v>GLOBALFOUNDRIES INC.</v>
    <v>65.08</v>
    <v>23.796199999999999</v>
    <v>64.58</v>
    <v>64.739999999999995</v>
    <v>551780000</v>
    <v>GFS</v>
    <v>GLOBALFOUNDRIES INC. (XNAS:GFS)</v>
    <v>637046</v>
    <v>1464719</v>
    <v>2008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finbox.com/NASDAQGS:GFS/explorer/fcf_unlev_proj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finbox.com/NASDAQGS:GFS/explorer/revenue_proj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GFS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Normal="100" workbookViewId="0">
      <pane xSplit="1" ySplit="1" topLeftCell="B103" activePane="bottomRight" state="frozen"/>
      <selection pane="topRight"/>
      <selection pane="bottomLeft"/>
      <selection pane="bottomRight" activeCell="F140" sqref="F140"/>
    </sheetView>
  </sheetViews>
  <sheetFormatPr baseColWidth="10" defaultRowHeight="16" x14ac:dyDescent="0.2"/>
  <cols>
    <col min="1" max="1" width="50" customWidth="1"/>
    <col min="2" max="6" width="15" customWidth="1"/>
    <col min="7" max="15" width="21" customWidth="1"/>
  </cols>
  <sheetData>
    <row r="1" spans="1:43" ht="22" thickBot="1" x14ac:dyDescent="0.3">
      <c r="A1" s="3" t="e" vm="1">
        <v>#VALUE!</v>
      </c>
      <c r="B1" s="8">
        <v>2018</v>
      </c>
      <c r="C1" s="8">
        <v>2019</v>
      </c>
      <c r="D1" s="8">
        <v>2020</v>
      </c>
      <c r="E1" s="8">
        <v>2021</v>
      </c>
      <c r="F1" s="8">
        <v>2022</v>
      </c>
      <c r="G1" s="38">
        <v>2023</v>
      </c>
      <c r="H1" s="38">
        <v>2024</v>
      </c>
      <c r="I1" s="38">
        <v>2025</v>
      </c>
      <c r="J1" s="38">
        <v>2026</v>
      </c>
      <c r="K1" s="38">
        <v>2027</v>
      </c>
    </row>
    <row r="2" spans="1:43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/>
      <c r="J2" s="9"/>
      <c r="K2" s="9"/>
      <c r="L2" s="9"/>
      <c r="M2" s="9"/>
      <c r="N2" s="9"/>
      <c r="O2" s="9"/>
    </row>
    <row r="3" spans="1:43" ht="40" x14ac:dyDescent="0.25">
      <c r="A3" s="5" t="s">
        <v>1</v>
      </c>
      <c r="B3" s="1">
        <v>6196039000</v>
      </c>
      <c r="C3" s="1">
        <v>5812788000</v>
      </c>
      <c r="D3" s="1">
        <v>4850505000</v>
      </c>
      <c r="E3" s="1">
        <v>6585079000</v>
      </c>
      <c r="F3" s="1">
        <v>8108000000</v>
      </c>
      <c r="G3" s="31">
        <v>7497000000</v>
      </c>
      <c r="H3" s="31">
        <v>8500000000</v>
      </c>
      <c r="I3" s="31">
        <v>9246000000</v>
      </c>
      <c r="J3" s="31">
        <v>10203000000</v>
      </c>
      <c r="K3" s="31">
        <v>10822000000</v>
      </c>
      <c r="L3" s="18" t="s">
        <v>113</v>
      </c>
      <c r="M3" s="19" t="s">
        <v>114</v>
      </c>
      <c r="N3" s="19" t="s">
        <v>115</v>
      </c>
      <c r="O3" s="19" t="s">
        <v>116</v>
      </c>
    </row>
    <row r="4" spans="1:43" ht="19" x14ac:dyDescent="0.25">
      <c r="A4" s="14" t="s">
        <v>93</v>
      </c>
      <c r="B4" s="1"/>
      <c r="C4" s="15">
        <f>(C3/B3)-1</f>
        <v>-6.1854194268305962E-2</v>
      </c>
      <c r="D4" s="15">
        <f>(D3/C3)-1</f>
        <v>-0.16554586198567711</v>
      </c>
      <c r="E4" s="15">
        <f>(E3/D3)-1</f>
        <v>0.35760688835492394</v>
      </c>
      <c r="F4" s="15">
        <f t="shared" ref="F4:Q4" si="0">(F3/E3)-1</f>
        <v>0.23126844795635715</v>
      </c>
      <c r="G4" s="16">
        <f>(G3/F3)-1</f>
        <v>-7.5357671435619111E-2</v>
      </c>
      <c r="H4" s="16">
        <f t="shared" ref="H4:K4" si="1">(H3/G3)-1</f>
        <v>0.13378684807256236</v>
      </c>
      <c r="I4" s="16">
        <f t="shared" si="1"/>
        <v>8.7764705882352967E-2</v>
      </c>
      <c r="J4" s="16">
        <f t="shared" si="1"/>
        <v>0.10350421804023369</v>
      </c>
      <c r="K4" s="16">
        <f t="shared" si="1"/>
        <v>6.0668430853670463E-2</v>
      </c>
      <c r="L4" s="17">
        <f>(E4+D4+F4)/3</f>
        <v>0.14110982477520131</v>
      </c>
      <c r="M4" s="17">
        <f>(E20+D20+F20)/3</f>
        <v>0.34054734692074146</v>
      </c>
      <c r="N4" s="17">
        <f>(E29+D29+F29)/3</f>
        <v>-2.5387428496548607</v>
      </c>
      <c r="O4" s="17">
        <f>(E106+D106+F106)/3</f>
        <v>-0.76954425434607432</v>
      </c>
      <c r="AI4" s="16"/>
      <c r="AJ4" s="16"/>
      <c r="AK4" s="16"/>
      <c r="AL4" s="16"/>
      <c r="AM4" s="16"/>
      <c r="AN4" s="16"/>
      <c r="AO4" s="16"/>
      <c r="AP4" s="16"/>
      <c r="AQ4" s="16"/>
    </row>
    <row r="5" spans="1:43" ht="19" x14ac:dyDescent="0.25">
      <c r="A5" s="5" t="s">
        <v>2</v>
      </c>
      <c r="B5" s="1">
        <v>6646090000</v>
      </c>
      <c r="C5" s="1">
        <v>6345032000</v>
      </c>
      <c r="D5" s="1">
        <v>5563225000</v>
      </c>
      <c r="E5" s="1">
        <v>5571810000</v>
      </c>
      <c r="F5" s="1">
        <v>5869000000</v>
      </c>
    </row>
    <row r="6" spans="1:43" ht="20" x14ac:dyDescent="0.25">
      <c r="A6" s="6" t="s">
        <v>3</v>
      </c>
      <c r="B6" s="10">
        <v>-450051000</v>
      </c>
      <c r="C6" s="10">
        <v>-532244000</v>
      </c>
      <c r="D6" s="10">
        <v>-712720000</v>
      </c>
      <c r="E6" s="10">
        <v>1013269000</v>
      </c>
      <c r="F6" s="10">
        <v>2239000000</v>
      </c>
      <c r="L6" s="18" t="s">
        <v>117</v>
      </c>
      <c r="M6" s="19" t="s">
        <v>118</v>
      </c>
      <c r="N6" s="19" t="s">
        <v>119</v>
      </c>
      <c r="O6" s="19" t="s">
        <v>120</v>
      </c>
    </row>
    <row r="7" spans="1:43" ht="19" x14ac:dyDescent="0.25">
      <c r="A7" s="5" t="s">
        <v>4</v>
      </c>
      <c r="B7" s="2">
        <v>-7.2599999999999998E-2</v>
      </c>
      <c r="C7" s="2">
        <v>-9.1600000000000001E-2</v>
      </c>
      <c r="D7" s="2">
        <v>-0.1469</v>
      </c>
      <c r="E7" s="2">
        <v>0.15390000000000001</v>
      </c>
      <c r="F7" s="2">
        <v>0.27610000000000001</v>
      </c>
      <c r="L7" s="17">
        <f>F7</f>
        <v>0.27610000000000001</v>
      </c>
      <c r="M7" s="20">
        <f>F21</f>
        <v>0.39679999999999999</v>
      </c>
      <c r="N7" s="20">
        <f>F30</f>
        <v>0.17860000000000001</v>
      </c>
      <c r="O7" s="20">
        <f>F107/F3</f>
        <v>-5.365071534287124E-2</v>
      </c>
    </row>
    <row r="8" spans="1:43" ht="19" x14ac:dyDescent="0.25">
      <c r="A8" s="5" t="s">
        <v>5</v>
      </c>
      <c r="B8" s="1">
        <v>926220000</v>
      </c>
      <c r="C8" s="1">
        <v>582974000</v>
      </c>
      <c r="D8" s="1">
        <v>475769000</v>
      </c>
      <c r="E8" s="1">
        <v>478161000</v>
      </c>
      <c r="F8" s="1">
        <v>482000000</v>
      </c>
    </row>
    <row r="9" spans="1:43" ht="19" customHeight="1" x14ac:dyDescent="0.25">
      <c r="A9" s="14" t="s">
        <v>94</v>
      </c>
      <c r="B9" s="15">
        <f>B8/B3</f>
        <v>0.14948582473415678</v>
      </c>
      <c r="C9" s="15">
        <f t="shared" ref="C9:K9" si="2">C8/C3</f>
        <v>0.10029163286189002</v>
      </c>
      <c r="D9" s="15">
        <f t="shared" si="2"/>
        <v>9.8086487901775182E-2</v>
      </c>
      <c r="E9" s="15">
        <f t="shared" si="2"/>
        <v>7.26127962929526E-2</v>
      </c>
      <c r="F9" s="15">
        <f t="shared" si="2"/>
        <v>5.9447459299457328E-2</v>
      </c>
      <c r="G9" s="15"/>
      <c r="H9" s="15"/>
      <c r="I9" s="15"/>
      <c r="J9" s="15"/>
      <c r="L9" s="18" t="s">
        <v>95</v>
      </c>
      <c r="M9" s="19" t="s">
        <v>96</v>
      </c>
      <c r="N9" s="19" t="s">
        <v>97</v>
      </c>
      <c r="O9" s="19" t="s">
        <v>98</v>
      </c>
      <c r="AI9" s="15"/>
      <c r="AJ9" s="15"/>
      <c r="AK9" s="15"/>
      <c r="AL9" s="15"/>
      <c r="AM9" s="15"/>
    </row>
    <row r="10" spans="1:43" ht="19" x14ac:dyDescent="0.25">
      <c r="A10" s="5" t="s">
        <v>6</v>
      </c>
      <c r="B10" s="1">
        <v>325269000</v>
      </c>
      <c r="C10" s="1">
        <v>358942000</v>
      </c>
      <c r="D10" s="1">
        <v>287641000</v>
      </c>
      <c r="E10" s="1">
        <v>545031000</v>
      </c>
      <c r="F10" s="1" t="s">
        <v>91</v>
      </c>
      <c r="L10" s="17">
        <f>F9</f>
        <v>5.9447459299457328E-2</v>
      </c>
      <c r="M10" s="20">
        <f>F13</f>
        <v>6.1174148988653185E-2</v>
      </c>
      <c r="N10" s="20">
        <f>F80</f>
        <v>0</v>
      </c>
      <c r="O10" s="20">
        <f>F89</f>
        <v>0.37728169708929454</v>
      </c>
    </row>
    <row r="11" spans="1:43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</row>
    <row r="12" spans="1:43" ht="20" x14ac:dyDescent="0.25">
      <c r="A12" s="5" t="s">
        <v>8</v>
      </c>
      <c r="B12" s="1">
        <v>325269000</v>
      </c>
      <c r="C12" s="1">
        <v>358942000</v>
      </c>
      <c r="D12" s="1">
        <v>287641000</v>
      </c>
      <c r="E12" s="1">
        <v>545031000</v>
      </c>
      <c r="F12" s="1">
        <v>496000000</v>
      </c>
      <c r="L12" s="18" t="s">
        <v>121</v>
      </c>
      <c r="M12" s="19" t="s">
        <v>122</v>
      </c>
      <c r="N12" s="19" t="s">
        <v>123</v>
      </c>
      <c r="O12" s="19" t="s">
        <v>124</v>
      </c>
    </row>
    <row r="13" spans="1:43" ht="19" x14ac:dyDescent="0.25">
      <c r="A13" s="14" t="s">
        <v>99</v>
      </c>
      <c r="B13" s="15">
        <f>B12/B3</f>
        <v>5.249628028487232E-2</v>
      </c>
      <c r="C13" s="15">
        <f t="shared" ref="C13:K13" si="3">C12/C3</f>
        <v>6.1750402732733412E-2</v>
      </c>
      <c r="D13" s="15">
        <f t="shared" si="3"/>
        <v>5.930124801438201E-2</v>
      </c>
      <c r="E13" s="15">
        <f t="shared" si="3"/>
        <v>8.2767571960791972E-2</v>
      </c>
      <c r="F13" s="15">
        <f t="shared" si="3"/>
        <v>6.1174148988653185E-2</v>
      </c>
      <c r="G13" s="15"/>
      <c r="H13" s="15"/>
      <c r="I13" s="15"/>
      <c r="J13" s="15"/>
      <c r="L13" s="17">
        <f>F28/F72</f>
        <v>0.14607081610007061</v>
      </c>
      <c r="M13" s="20">
        <f>F28/F54</f>
        <v>8.116136987837004E-2</v>
      </c>
      <c r="N13" s="20">
        <f>F22/(F72+F56+F61)</f>
        <v>9.3931101094655509E-2</v>
      </c>
      <c r="O13" s="21">
        <f>F67/F72</f>
        <v>0.79501664480984569</v>
      </c>
      <c r="AI13" s="15"/>
      <c r="AJ13" s="15"/>
      <c r="AK13" s="15"/>
      <c r="AL13" s="15"/>
      <c r="AM13" s="15"/>
    </row>
    <row r="14" spans="1:43" ht="19" x14ac:dyDescent="0.25">
      <c r="A14" s="5" t="s">
        <v>9</v>
      </c>
      <c r="B14" s="1">
        <v>127478000</v>
      </c>
      <c r="C14" s="1">
        <v>86686000</v>
      </c>
      <c r="D14" s="1">
        <v>157219000</v>
      </c>
      <c r="E14" s="1">
        <v>49889000</v>
      </c>
      <c r="F14" s="1" t="s">
        <v>91</v>
      </c>
    </row>
    <row r="15" spans="1:43" ht="20" x14ac:dyDescent="0.25">
      <c r="A15" s="5" t="s">
        <v>10</v>
      </c>
      <c r="B15" s="1">
        <v>1378967000</v>
      </c>
      <c r="C15" s="1">
        <v>1028602000</v>
      </c>
      <c r="D15" s="1">
        <v>920629000</v>
      </c>
      <c r="E15" s="1">
        <v>1073081000</v>
      </c>
      <c r="F15" s="1">
        <v>978000000</v>
      </c>
      <c r="L15" s="18" t="s">
        <v>166</v>
      </c>
      <c r="M15" s="19" t="s">
        <v>125</v>
      </c>
      <c r="N15" s="19" t="s">
        <v>126</v>
      </c>
      <c r="O15" s="19" t="s">
        <v>127</v>
      </c>
    </row>
    <row r="16" spans="1:43" ht="19" x14ac:dyDescent="0.25">
      <c r="A16" s="5" t="s">
        <v>11</v>
      </c>
      <c r="B16" s="1">
        <v>8025057000</v>
      </c>
      <c r="C16" s="1">
        <v>7373634000</v>
      </c>
      <c r="D16" s="1">
        <v>6483854000</v>
      </c>
      <c r="E16" s="1">
        <v>6644891000</v>
      </c>
      <c r="F16" s="1">
        <v>6847000000</v>
      </c>
      <c r="L16" s="39">
        <f>SUM(C35:F35)/4</f>
        <v>1.0444586448347512E-2</v>
      </c>
      <c r="M16" s="40">
        <f>N101/F3</f>
        <v>4.4058013320177603</v>
      </c>
      <c r="N16" s="40">
        <f>N101/F28</f>
        <v>24.670053314917126</v>
      </c>
      <c r="O16" s="41">
        <f>N101/F107</f>
        <v>-82.120085517241378</v>
      </c>
    </row>
    <row r="17" spans="1:48" ht="19" x14ac:dyDescent="0.25">
      <c r="A17" s="5" t="s">
        <v>12</v>
      </c>
      <c r="B17" s="1">
        <v>137508000</v>
      </c>
      <c r="C17" s="1">
        <v>202780000</v>
      </c>
      <c r="D17" s="1">
        <v>132662000</v>
      </c>
      <c r="E17" s="1">
        <v>98850000</v>
      </c>
      <c r="F17" s="1">
        <v>60000000</v>
      </c>
    </row>
    <row r="18" spans="1:48" ht="20" x14ac:dyDescent="0.25">
      <c r="A18" s="5" t="s">
        <v>13</v>
      </c>
      <c r="B18" s="1">
        <v>2947924000</v>
      </c>
      <c r="C18" s="1">
        <v>2678224000</v>
      </c>
      <c r="D18" s="1">
        <v>2522514000</v>
      </c>
      <c r="E18" s="1">
        <v>1618844000</v>
      </c>
      <c r="F18" s="1">
        <v>1623000000</v>
      </c>
      <c r="L18" s="18" t="s">
        <v>128</v>
      </c>
      <c r="M18" s="19" t="s">
        <v>129</v>
      </c>
      <c r="N18" s="19" t="s">
        <v>130</v>
      </c>
      <c r="O18" s="19" t="s">
        <v>131</v>
      </c>
    </row>
    <row r="19" spans="1:48" ht="19" x14ac:dyDescent="0.25">
      <c r="A19" s="6" t="s">
        <v>14</v>
      </c>
      <c r="B19" s="10">
        <v>400275000</v>
      </c>
      <c r="C19" s="10">
        <v>1733879000</v>
      </c>
      <c r="D19" s="10">
        <v>1295338000</v>
      </c>
      <c r="E19" s="10">
        <v>1545648000</v>
      </c>
      <c r="F19" s="10">
        <v>3217000000</v>
      </c>
      <c r="G19" s="42">
        <v>2817000000</v>
      </c>
      <c r="H19" s="42">
        <v>3435000000</v>
      </c>
      <c r="I19" s="42">
        <v>3696000000</v>
      </c>
      <c r="J19" s="42">
        <v>4255000000</v>
      </c>
      <c r="K19" s="42">
        <v>4574000000</v>
      </c>
      <c r="L19" s="43">
        <f>E40-E56-E61</f>
        <v>500570000</v>
      </c>
      <c r="M19" s="40">
        <f>N101/G3</f>
        <v>4.7648709083633456</v>
      </c>
      <c r="N19" s="44">
        <f>N101/G28</f>
        <v>29.893085523012552</v>
      </c>
      <c r="O19" s="41">
        <f>N101/G106</f>
        <v>103.48272653534183</v>
      </c>
    </row>
    <row r="20" spans="1:48" ht="19" customHeight="1" x14ac:dyDescent="0.25">
      <c r="A20" s="14" t="s">
        <v>100</v>
      </c>
      <c r="B20" s="1"/>
      <c r="C20" s="15">
        <f>(C19/B19)-1</f>
        <v>3.3317194428830179</v>
      </c>
      <c r="D20" s="15">
        <f>(D19/C19)-1</f>
        <v>-0.25292480040418042</v>
      </c>
      <c r="E20" s="15">
        <f>(E19/D19)-1</f>
        <v>0.19323913912816582</v>
      </c>
      <c r="F20" s="15">
        <f t="shared" ref="F20:Q20" si="4">(F19/E19)-1</f>
        <v>1.081327702038239</v>
      </c>
      <c r="G20" s="16">
        <f t="shared" si="4"/>
        <v>-0.12433944668946229</v>
      </c>
      <c r="H20" s="16">
        <f t="shared" si="4"/>
        <v>0.21938232161874338</v>
      </c>
      <c r="I20" s="16">
        <f t="shared" si="4"/>
        <v>7.598253275109168E-2</v>
      </c>
      <c r="J20" s="16">
        <f t="shared" si="4"/>
        <v>0.15124458874458879</v>
      </c>
      <c r="K20" s="16">
        <f t="shared" si="4"/>
        <v>7.497062279670974E-2</v>
      </c>
      <c r="L20" s="15"/>
      <c r="M20" s="15"/>
      <c r="N20" s="15"/>
      <c r="O20" s="15"/>
      <c r="AI20" s="15"/>
      <c r="AJ20" s="15"/>
      <c r="AK20" s="15"/>
      <c r="AL20" s="15"/>
      <c r="AM20" s="15"/>
      <c r="AU20" s="15"/>
      <c r="AV20" s="15"/>
    </row>
    <row r="21" spans="1:48" ht="20" x14ac:dyDescent="0.25">
      <c r="A21" s="5" t="s">
        <v>15</v>
      </c>
      <c r="B21" s="2">
        <v>6.4600000000000005E-2</v>
      </c>
      <c r="C21" s="2">
        <v>0.29830000000000001</v>
      </c>
      <c r="D21" s="2">
        <v>0.2671</v>
      </c>
      <c r="E21" s="2">
        <v>0.23469999999999999</v>
      </c>
      <c r="F21" s="2">
        <v>0.39679999999999999</v>
      </c>
      <c r="G21" s="45">
        <f t="shared" ref="G21:K21" si="5">G19/G3</f>
        <v>0.37575030012004801</v>
      </c>
      <c r="H21" s="45">
        <f t="shared" si="5"/>
        <v>0.40411764705882353</v>
      </c>
      <c r="I21" s="45">
        <f t="shared" si="5"/>
        <v>0.39974042829331602</v>
      </c>
      <c r="J21" s="45">
        <f t="shared" si="5"/>
        <v>0.41703420562579635</v>
      </c>
      <c r="K21" s="45">
        <f t="shared" si="5"/>
        <v>0.42265754943633338</v>
      </c>
      <c r="N21" s="18" t="s">
        <v>132</v>
      </c>
      <c r="O21" s="19" t="s">
        <v>133</v>
      </c>
    </row>
    <row r="22" spans="1:48" ht="19" x14ac:dyDescent="0.25">
      <c r="A22" s="6" t="s">
        <v>16</v>
      </c>
      <c r="B22" s="10">
        <v>-2523290000</v>
      </c>
      <c r="C22" s="10">
        <v>-1624796000</v>
      </c>
      <c r="D22" s="10">
        <v>-1656021000</v>
      </c>
      <c r="E22" s="10">
        <v>-59812000</v>
      </c>
      <c r="F22" s="10">
        <v>1167000000</v>
      </c>
      <c r="N22" s="46">
        <f>(-1*F98)/N101</f>
        <v>0</v>
      </c>
      <c r="O22" s="47">
        <f>F107/N101</f>
        <v>-1.2177288828931465E-2</v>
      </c>
    </row>
    <row r="23" spans="1:48" ht="19" x14ac:dyDescent="0.25">
      <c r="A23" s="5" t="s">
        <v>17</v>
      </c>
      <c r="B23" s="2">
        <v>-0.40720000000000001</v>
      </c>
      <c r="C23" s="2">
        <v>-0.27950000000000003</v>
      </c>
      <c r="D23" s="2">
        <v>-0.34139999999999998</v>
      </c>
      <c r="E23" s="2">
        <v>-9.1000000000000004E-3</v>
      </c>
      <c r="F23" s="2">
        <v>0.1439</v>
      </c>
    </row>
    <row r="24" spans="1:48" ht="19" x14ac:dyDescent="0.25">
      <c r="A24" s="5" t="s">
        <v>18</v>
      </c>
      <c r="B24" s="1">
        <v>-86290000</v>
      </c>
      <c r="C24" s="1">
        <v>477671000</v>
      </c>
      <c r="D24" s="1">
        <v>292894000</v>
      </c>
      <c r="E24" s="1">
        <v>-115852000</v>
      </c>
      <c r="F24" s="1">
        <v>365000000</v>
      </c>
    </row>
    <row r="25" spans="1:48" ht="19" x14ac:dyDescent="0.25">
      <c r="A25" s="6" t="s">
        <v>19</v>
      </c>
      <c r="B25" s="10">
        <v>-2609580000</v>
      </c>
      <c r="C25" s="10">
        <v>-1147125000</v>
      </c>
      <c r="D25" s="10">
        <v>-1363127000</v>
      </c>
      <c r="E25" s="10">
        <v>-175664000</v>
      </c>
      <c r="F25" s="10">
        <v>1532000000</v>
      </c>
    </row>
    <row r="26" spans="1:48" ht="19" x14ac:dyDescent="0.25">
      <c r="A26" s="5" t="s">
        <v>20</v>
      </c>
      <c r="B26" s="2">
        <v>-0.42120000000000002</v>
      </c>
      <c r="C26" s="2">
        <v>-0.1973</v>
      </c>
      <c r="D26" s="2">
        <v>-0.28100000000000003</v>
      </c>
      <c r="E26" s="2">
        <v>-2.6700000000000002E-2</v>
      </c>
      <c r="F26" s="2">
        <v>0.18890000000000001</v>
      </c>
    </row>
    <row r="27" spans="1:48" ht="19" x14ac:dyDescent="0.25">
      <c r="A27" s="5" t="s">
        <v>21</v>
      </c>
      <c r="B27" s="1">
        <v>16446000</v>
      </c>
      <c r="C27" s="1">
        <v>224061000</v>
      </c>
      <c r="D27" s="1">
        <v>-12267000</v>
      </c>
      <c r="E27" s="1">
        <v>78267000</v>
      </c>
      <c r="F27" s="1">
        <v>86000000</v>
      </c>
    </row>
    <row r="28" spans="1:48" ht="20" thickBot="1" x14ac:dyDescent="0.3">
      <c r="A28" s="7" t="s">
        <v>22</v>
      </c>
      <c r="B28" s="11">
        <v>-2701603000</v>
      </c>
      <c r="C28" s="11">
        <v>-1371186000</v>
      </c>
      <c r="D28" s="11">
        <v>-1347571000</v>
      </c>
      <c r="E28" s="11">
        <v>-250313000</v>
      </c>
      <c r="F28" s="11">
        <v>1448000000</v>
      </c>
      <c r="G28" s="48">
        <v>1195000000</v>
      </c>
      <c r="H28" s="48">
        <v>1581000000</v>
      </c>
      <c r="I28" s="48">
        <v>1977000000</v>
      </c>
      <c r="J28" s="48">
        <v>2338000000</v>
      </c>
      <c r="K28" s="48">
        <v>2535000000</v>
      </c>
    </row>
    <row r="29" spans="1:48" ht="20" customHeight="1" thickTop="1" x14ac:dyDescent="0.25">
      <c r="A29" s="14" t="s">
        <v>101</v>
      </c>
      <c r="B29" s="1"/>
      <c r="C29" s="15">
        <f>(C28/B28)-1</f>
        <v>-0.49245466487859246</v>
      </c>
      <c r="D29" s="15">
        <f>(D28/C28)-1</f>
        <v>-1.722231703065813E-2</v>
      </c>
      <c r="E29" s="15">
        <f>(E28/D28)-1</f>
        <v>-0.81424874830342886</v>
      </c>
      <c r="F29" s="15">
        <f t="shared" ref="F29:Q29" si="6">(F28/E28)-1</f>
        <v>-6.7847574836304947</v>
      </c>
      <c r="G29" s="16">
        <f t="shared" si="6"/>
        <v>-0.17472375690607733</v>
      </c>
      <c r="H29" s="16">
        <f t="shared" si="6"/>
        <v>0.32301255230125525</v>
      </c>
      <c r="I29" s="16">
        <f t="shared" si="6"/>
        <v>0.25047438330170779</v>
      </c>
      <c r="J29" s="16">
        <f t="shared" si="6"/>
        <v>0.18259989883662109</v>
      </c>
      <c r="K29" s="16">
        <f t="shared" si="6"/>
        <v>8.4260051325919516E-2</v>
      </c>
      <c r="L29" s="15"/>
      <c r="M29" s="15"/>
      <c r="N29" s="15"/>
      <c r="O29" s="15"/>
      <c r="AI29" s="15"/>
      <c r="AJ29" s="15"/>
      <c r="AK29" s="15"/>
      <c r="AL29" s="15"/>
      <c r="AM29" s="15"/>
      <c r="AU29" s="15"/>
      <c r="AV29" s="15"/>
    </row>
    <row r="30" spans="1:48" ht="19" x14ac:dyDescent="0.25">
      <c r="A30" s="5" t="s">
        <v>23</v>
      </c>
      <c r="B30" s="2">
        <v>-0.436</v>
      </c>
      <c r="C30" s="2">
        <v>-0.2359</v>
      </c>
      <c r="D30" s="2">
        <v>-0.27779999999999999</v>
      </c>
      <c r="E30" s="2">
        <v>-3.7999999999999999E-2</v>
      </c>
      <c r="F30" s="2">
        <v>0.17860000000000001</v>
      </c>
      <c r="G30" s="49">
        <f>G28/G3</f>
        <v>0.15939709217020143</v>
      </c>
      <c r="H30" s="49">
        <f t="shared" ref="H30:K30" si="7">H28/H3</f>
        <v>0.186</v>
      </c>
      <c r="I30" s="49">
        <f t="shared" si="7"/>
        <v>0.21382219338092148</v>
      </c>
      <c r="J30" s="49">
        <f t="shared" si="7"/>
        <v>0.22914828971871018</v>
      </c>
      <c r="K30" s="49">
        <f t="shared" si="7"/>
        <v>0.23424505636666051</v>
      </c>
    </row>
    <row r="31" spans="1:48" ht="19" x14ac:dyDescent="0.25">
      <c r="A31" s="5" t="s">
        <v>24</v>
      </c>
      <c r="B31" s="12">
        <v>-5.08</v>
      </c>
      <c r="C31" s="12">
        <v>-2.58</v>
      </c>
      <c r="D31" s="12">
        <v>-2.5299999999999998</v>
      </c>
      <c r="E31" s="12">
        <v>-0.5</v>
      </c>
      <c r="F31" s="12">
        <v>2.69</v>
      </c>
      <c r="G31" s="71">
        <v>2.16</v>
      </c>
      <c r="H31" s="71">
        <v>2.86</v>
      </c>
      <c r="I31" s="71">
        <v>3.58</v>
      </c>
      <c r="J31" s="71">
        <v>4.2300000000000004</v>
      </c>
      <c r="K31" s="71">
        <v>4.59</v>
      </c>
    </row>
    <row r="32" spans="1:48" ht="19" x14ac:dyDescent="0.25">
      <c r="A32" s="5" t="s">
        <v>25</v>
      </c>
      <c r="B32" s="12">
        <v>-5.08</v>
      </c>
      <c r="C32" s="12">
        <v>-2.58</v>
      </c>
      <c r="D32" s="12">
        <v>-2.5299999999999998</v>
      </c>
      <c r="E32" s="12">
        <v>-0.5</v>
      </c>
      <c r="F32" s="12">
        <v>2.62</v>
      </c>
    </row>
    <row r="33" spans="1:39" ht="19" x14ac:dyDescent="0.25">
      <c r="A33" s="5" t="s">
        <v>26</v>
      </c>
      <c r="B33" s="1">
        <v>531845744</v>
      </c>
      <c r="C33" s="1">
        <v>531845744</v>
      </c>
      <c r="D33" s="1">
        <v>531845744</v>
      </c>
      <c r="E33" s="1">
        <v>508000000</v>
      </c>
      <c r="F33" s="1">
        <v>539000000</v>
      </c>
    </row>
    <row r="34" spans="1:39" ht="19" x14ac:dyDescent="0.25">
      <c r="A34" s="5" t="s">
        <v>27</v>
      </c>
      <c r="B34" s="1">
        <v>531845744</v>
      </c>
      <c r="C34" s="1">
        <v>531845744</v>
      </c>
      <c r="D34" s="1">
        <v>531845744</v>
      </c>
      <c r="E34" s="1">
        <v>508000000</v>
      </c>
      <c r="F34" s="1">
        <v>552000000</v>
      </c>
    </row>
    <row r="35" spans="1:39" ht="20" customHeight="1" x14ac:dyDescent="0.25">
      <c r="A35" s="14" t="s">
        <v>102</v>
      </c>
      <c r="B35" s="1"/>
      <c r="C35" s="22">
        <f>(C34-B34)/B34</f>
        <v>0</v>
      </c>
      <c r="D35" s="22">
        <f t="shared" ref="D35:K35" si="8">(D34-C34)/C34</f>
        <v>0</v>
      </c>
      <c r="E35" s="22">
        <f t="shared" si="8"/>
        <v>-4.4835827434956406E-2</v>
      </c>
      <c r="F35" s="22">
        <f t="shared" si="8"/>
        <v>8.6614173228346455E-2</v>
      </c>
      <c r="G35" s="22"/>
      <c r="H35" s="22"/>
      <c r="I35" s="22"/>
      <c r="J35" s="22"/>
      <c r="K35" s="22"/>
      <c r="L35" s="22"/>
      <c r="M35" s="22"/>
      <c r="N35" s="22"/>
      <c r="O35" s="22"/>
      <c r="AI35" s="22"/>
      <c r="AJ35" s="22"/>
      <c r="AK35" s="22"/>
      <c r="AL35" s="22"/>
      <c r="AM35" s="22"/>
    </row>
    <row r="36" spans="1:39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</row>
    <row r="37" spans="1:39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</row>
    <row r="38" spans="1:39" ht="19" x14ac:dyDescent="0.25">
      <c r="A38" s="5" t="s">
        <v>30</v>
      </c>
      <c r="B38" s="1" t="s">
        <v>91</v>
      </c>
      <c r="C38" s="1">
        <v>997315000</v>
      </c>
      <c r="D38" s="1">
        <v>908077000</v>
      </c>
      <c r="E38" s="1">
        <v>2939187000</v>
      </c>
      <c r="F38" s="1">
        <v>2352000000</v>
      </c>
    </row>
    <row r="39" spans="1:39" ht="19" x14ac:dyDescent="0.25">
      <c r="A39" s="5" t="s">
        <v>31</v>
      </c>
      <c r="B39" s="1" t="s">
        <v>91</v>
      </c>
      <c r="C39" s="1">
        <v>6798000</v>
      </c>
      <c r="D39" s="1">
        <v>50534000</v>
      </c>
      <c r="E39" s="1" t="s">
        <v>91</v>
      </c>
      <c r="F39" s="1">
        <v>622000000</v>
      </c>
    </row>
    <row r="40" spans="1:39" ht="19" x14ac:dyDescent="0.25">
      <c r="A40" s="5" t="s">
        <v>32</v>
      </c>
      <c r="B40" s="1" t="s">
        <v>91</v>
      </c>
      <c r="C40" s="1">
        <v>1004113000</v>
      </c>
      <c r="D40" s="1">
        <v>958611000</v>
      </c>
      <c r="E40" s="1">
        <v>2939187000</v>
      </c>
      <c r="F40" s="1">
        <v>2974000000</v>
      </c>
    </row>
    <row r="41" spans="1:39" ht="19" x14ac:dyDescent="0.25">
      <c r="A41" s="5" t="s">
        <v>33</v>
      </c>
      <c r="B41" s="1" t="s">
        <v>91</v>
      </c>
      <c r="C41" s="1">
        <v>2065383000</v>
      </c>
      <c r="D41" s="1">
        <v>1028641000</v>
      </c>
      <c r="E41" s="1">
        <v>1207718000</v>
      </c>
      <c r="F41" s="1">
        <v>1487000000</v>
      </c>
    </row>
    <row r="42" spans="1:39" ht="19" x14ac:dyDescent="0.25">
      <c r="A42" s="5" t="s">
        <v>34</v>
      </c>
      <c r="B42" s="1" t="s">
        <v>91</v>
      </c>
      <c r="C42" s="1">
        <v>351923000</v>
      </c>
      <c r="D42" s="1">
        <v>919519000</v>
      </c>
      <c r="E42" s="1">
        <v>1121251000</v>
      </c>
      <c r="F42" s="1">
        <v>1339000000</v>
      </c>
    </row>
    <row r="43" spans="1:39" ht="19" x14ac:dyDescent="0.25">
      <c r="A43" s="5" t="s">
        <v>35</v>
      </c>
      <c r="B43" s="1" t="s">
        <v>91</v>
      </c>
      <c r="C43" s="1">
        <v>92731000</v>
      </c>
      <c r="D43" s="1">
        <v>79953000</v>
      </c>
      <c r="E43" s="1">
        <v>23183000</v>
      </c>
      <c r="F43" s="1" t="s">
        <v>91</v>
      </c>
    </row>
    <row r="44" spans="1:39" ht="19" x14ac:dyDescent="0.25">
      <c r="A44" s="6" t="s">
        <v>36</v>
      </c>
      <c r="B44" s="10" t="s">
        <v>91</v>
      </c>
      <c r="C44" s="10">
        <v>3514150000</v>
      </c>
      <c r="D44" s="10">
        <v>2986724000</v>
      </c>
      <c r="E44" s="10">
        <v>5291339000</v>
      </c>
      <c r="F44" s="10">
        <v>5800000000</v>
      </c>
    </row>
    <row r="45" spans="1:39" ht="19" x14ac:dyDescent="0.25">
      <c r="A45" s="5" t="s">
        <v>37</v>
      </c>
      <c r="B45" s="1" t="s">
        <v>91</v>
      </c>
      <c r="C45" s="1">
        <v>9611269000</v>
      </c>
      <c r="D45" s="1">
        <v>8226202000</v>
      </c>
      <c r="E45" s="1">
        <v>8712978000</v>
      </c>
      <c r="F45" s="1">
        <v>10596000000</v>
      </c>
    </row>
    <row r="46" spans="1:39" ht="19" x14ac:dyDescent="0.25">
      <c r="A46" s="5" t="s">
        <v>38</v>
      </c>
      <c r="B46" s="1" t="s">
        <v>91</v>
      </c>
      <c r="C46" s="1">
        <v>5477000</v>
      </c>
      <c r="D46" s="1">
        <v>18024000</v>
      </c>
      <c r="E46" s="1">
        <v>18024000</v>
      </c>
      <c r="F46" s="1" t="s">
        <v>91</v>
      </c>
    </row>
    <row r="47" spans="1:39" ht="19" x14ac:dyDescent="0.25">
      <c r="A47" s="5" t="s">
        <v>39</v>
      </c>
      <c r="B47" s="1" t="s">
        <v>91</v>
      </c>
      <c r="C47" s="1">
        <v>629304000</v>
      </c>
      <c r="D47" s="1">
        <v>529918000</v>
      </c>
      <c r="E47" s="1">
        <v>358725000</v>
      </c>
      <c r="F47" s="1" t="s">
        <v>91</v>
      </c>
    </row>
    <row r="48" spans="1:39" ht="19" x14ac:dyDescent="0.25">
      <c r="A48" s="5" t="s">
        <v>40</v>
      </c>
      <c r="B48" s="1" t="s">
        <v>91</v>
      </c>
      <c r="C48" s="1">
        <v>634781000</v>
      </c>
      <c r="D48" s="1">
        <v>547942000</v>
      </c>
      <c r="E48" s="1">
        <v>376749000</v>
      </c>
      <c r="F48" s="1" t="s">
        <v>91</v>
      </c>
    </row>
    <row r="49" spans="1:6" ht="19" x14ac:dyDescent="0.25">
      <c r="A49" s="5" t="s">
        <v>41</v>
      </c>
      <c r="B49" s="1" t="s">
        <v>91</v>
      </c>
      <c r="C49" s="1">
        <v>85500000</v>
      </c>
      <c r="D49" s="1">
        <v>49439000</v>
      </c>
      <c r="E49" s="1">
        <v>37938000</v>
      </c>
      <c r="F49" s="1">
        <v>372000000</v>
      </c>
    </row>
    <row r="50" spans="1:6" ht="19" x14ac:dyDescent="0.25">
      <c r="A50" s="5" t="s">
        <v>42</v>
      </c>
      <c r="B50" s="1" t="s">
        <v>91</v>
      </c>
      <c r="C50" s="1">
        <v>408050000</v>
      </c>
      <c r="D50" s="1">
        <v>443566000</v>
      </c>
      <c r="E50" s="1">
        <v>352770000</v>
      </c>
      <c r="F50" s="1">
        <v>292000000</v>
      </c>
    </row>
    <row r="51" spans="1:6" ht="19" x14ac:dyDescent="0.25">
      <c r="A51" s="5" t="s">
        <v>43</v>
      </c>
      <c r="B51" s="1" t="s">
        <v>91</v>
      </c>
      <c r="C51" s="1">
        <v>243756000</v>
      </c>
      <c r="D51" s="1">
        <v>67760000</v>
      </c>
      <c r="E51" s="1">
        <v>255828000</v>
      </c>
      <c r="F51" s="1">
        <v>781000000</v>
      </c>
    </row>
    <row r="52" spans="1:6" ht="19" x14ac:dyDescent="0.25">
      <c r="A52" s="5" t="s">
        <v>44</v>
      </c>
      <c r="B52" s="1" t="s">
        <v>91</v>
      </c>
      <c r="C52" s="1">
        <v>10983356000</v>
      </c>
      <c r="D52" s="1">
        <v>9334909000</v>
      </c>
      <c r="E52" s="1">
        <v>9736263000</v>
      </c>
      <c r="F52" s="1">
        <v>12041000000</v>
      </c>
    </row>
    <row r="53" spans="1:6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</row>
    <row r="54" spans="1:6" ht="20" thickBot="1" x14ac:dyDescent="0.3">
      <c r="A54" s="7" t="s">
        <v>46</v>
      </c>
      <c r="B54" s="11" t="s">
        <v>91</v>
      </c>
      <c r="C54" s="11">
        <v>14497506000</v>
      </c>
      <c r="D54" s="11">
        <v>12321633000</v>
      </c>
      <c r="E54" s="11">
        <v>15027602000</v>
      </c>
      <c r="F54" s="11">
        <v>17841000000</v>
      </c>
    </row>
    <row r="55" spans="1:6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551138000</v>
      </c>
      <c r="F55" s="1" t="s">
        <v>91</v>
      </c>
    </row>
    <row r="56" spans="1:6" ht="19" x14ac:dyDescent="0.25">
      <c r="A56" s="5" t="s">
        <v>48</v>
      </c>
      <c r="B56" s="1" t="s">
        <v>91</v>
      </c>
      <c r="C56" s="1">
        <v>817825000</v>
      </c>
      <c r="D56" s="1">
        <v>513077000</v>
      </c>
      <c r="E56" s="1">
        <v>432237000</v>
      </c>
      <c r="F56" s="1">
        <v>223000000</v>
      </c>
    </row>
    <row r="57" spans="1:6" ht="19" x14ac:dyDescent="0.25">
      <c r="A57" s="5" t="s">
        <v>49</v>
      </c>
      <c r="B57" s="1" t="s">
        <v>91</v>
      </c>
      <c r="C57" s="1">
        <v>37057000</v>
      </c>
      <c r="D57" s="1">
        <v>30609000</v>
      </c>
      <c r="E57" s="1" t="s">
        <v>91</v>
      </c>
      <c r="F57" s="1" t="s">
        <v>91</v>
      </c>
    </row>
    <row r="58" spans="1:6" ht="19" x14ac:dyDescent="0.25">
      <c r="A58" s="5" t="s">
        <v>50</v>
      </c>
      <c r="B58" s="1" t="s">
        <v>91</v>
      </c>
      <c r="C58" s="1">
        <v>142648000</v>
      </c>
      <c r="D58" s="1">
        <v>134586000</v>
      </c>
      <c r="E58" s="1">
        <v>561911000</v>
      </c>
      <c r="F58" s="1" t="s">
        <v>91</v>
      </c>
    </row>
    <row r="59" spans="1:6" ht="19" x14ac:dyDescent="0.25">
      <c r="A59" s="5" t="s">
        <v>51</v>
      </c>
      <c r="B59" s="1" t="s">
        <v>91</v>
      </c>
      <c r="C59" s="1">
        <v>1338537000</v>
      </c>
      <c r="D59" s="1">
        <v>1217798000</v>
      </c>
      <c r="E59" s="1">
        <v>1617573000</v>
      </c>
      <c r="F59" s="1">
        <v>3136000000</v>
      </c>
    </row>
    <row r="60" spans="1:6" ht="19" x14ac:dyDescent="0.25">
      <c r="A60" s="6" t="s">
        <v>52</v>
      </c>
      <c r="B60" s="10" t="s">
        <v>91</v>
      </c>
      <c r="C60" s="10">
        <v>2336067000</v>
      </c>
      <c r="D60" s="10">
        <v>1896070000</v>
      </c>
      <c r="E60" s="10">
        <v>3162859000</v>
      </c>
      <c r="F60" s="10">
        <v>3359000000</v>
      </c>
    </row>
    <row r="61" spans="1:6" ht="19" x14ac:dyDescent="0.25">
      <c r="A61" s="5" t="s">
        <v>53</v>
      </c>
      <c r="B61" s="1" t="s">
        <v>91</v>
      </c>
      <c r="C61" s="1">
        <v>2430511000</v>
      </c>
      <c r="D61" s="1">
        <v>2289390000</v>
      </c>
      <c r="E61" s="1">
        <v>2006380000</v>
      </c>
      <c r="F61" s="1">
        <v>2288000000</v>
      </c>
    </row>
    <row r="62" spans="1:6" ht="19" x14ac:dyDescent="0.25">
      <c r="A62" s="5" t="s">
        <v>50</v>
      </c>
      <c r="B62" s="1" t="s">
        <v>91</v>
      </c>
      <c r="C62" s="1">
        <v>196123000</v>
      </c>
      <c r="D62" s="1">
        <v>140809000</v>
      </c>
      <c r="E62" s="1">
        <v>1515699000</v>
      </c>
      <c r="F62" s="1" t="s">
        <v>91</v>
      </c>
    </row>
    <row r="63" spans="1:6" ht="19" x14ac:dyDescent="0.25">
      <c r="A63" s="5" t="s">
        <v>54</v>
      </c>
      <c r="B63" s="1" t="s">
        <v>91</v>
      </c>
      <c r="C63" s="1">
        <v>591000</v>
      </c>
      <c r="D63" s="1">
        <v>8422000</v>
      </c>
      <c r="E63" s="1">
        <v>2304000</v>
      </c>
      <c r="F63" s="1" t="s">
        <v>91</v>
      </c>
    </row>
    <row r="64" spans="1:6" ht="19" x14ac:dyDescent="0.25">
      <c r="A64" s="5" t="s">
        <v>55</v>
      </c>
      <c r="B64" s="1" t="s">
        <v>91</v>
      </c>
      <c r="C64" s="1">
        <v>515084000</v>
      </c>
      <c r="D64" s="1">
        <v>745440000</v>
      </c>
      <c r="E64" s="1">
        <v>307228000</v>
      </c>
      <c r="F64" s="1">
        <v>2234000000</v>
      </c>
    </row>
    <row r="65" spans="1:39" ht="19" x14ac:dyDescent="0.25">
      <c r="A65" s="5" t="s">
        <v>56</v>
      </c>
      <c r="B65" s="1" t="s">
        <v>91</v>
      </c>
      <c r="C65" s="1">
        <v>3142309000</v>
      </c>
      <c r="D65" s="1">
        <v>3184061000</v>
      </c>
      <c r="E65" s="1">
        <v>3831611000</v>
      </c>
      <c r="F65" s="1">
        <v>4522000000</v>
      </c>
    </row>
    <row r="66" spans="1:39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</row>
    <row r="67" spans="1:39" ht="19" x14ac:dyDescent="0.25">
      <c r="A67" s="6" t="s">
        <v>58</v>
      </c>
      <c r="B67" s="10" t="s">
        <v>91</v>
      </c>
      <c r="C67" s="10">
        <v>5478376000</v>
      </c>
      <c r="D67" s="10">
        <v>5080131000</v>
      </c>
      <c r="E67" s="10">
        <v>6994470000</v>
      </c>
      <c r="F67" s="10">
        <v>7881000000</v>
      </c>
    </row>
    <row r="68" spans="1:39" ht="19" x14ac:dyDescent="0.25">
      <c r="A68" s="5" t="s">
        <v>59</v>
      </c>
      <c r="B68" s="1" t="s">
        <v>91</v>
      </c>
      <c r="C68" s="1">
        <v>10000000</v>
      </c>
      <c r="D68" s="1">
        <v>10000000</v>
      </c>
      <c r="E68" s="1">
        <v>10637000</v>
      </c>
      <c r="F68" s="1">
        <v>23842000000</v>
      </c>
    </row>
    <row r="69" spans="1:39" ht="19" x14ac:dyDescent="0.25">
      <c r="A69" s="5" t="s">
        <v>60</v>
      </c>
      <c r="B69" s="1" t="s">
        <v>91</v>
      </c>
      <c r="C69" s="1">
        <v>-13870938000</v>
      </c>
      <c r="D69" s="1">
        <v>-15218509000</v>
      </c>
      <c r="E69" s="1">
        <v>-15468822000</v>
      </c>
      <c r="F69" s="1">
        <v>-14021000000</v>
      </c>
    </row>
    <row r="70" spans="1:39" ht="19" x14ac:dyDescent="0.25">
      <c r="A70" s="5" t="s">
        <v>61</v>
      </c>
      <c r="B70" s="1" t="s">
        <v>91</v>
      </c>
      <c r="C70" s="1">
        <v>5846000</v>
      </c>
      <c r="D70" s="1">
        <v>-3319000</v>
      </c>
      <c r="E70" s="1">
        <v>-53752000</v>
      </c>
      <c r="F70" s="1">
        <v>92000000</v>
      </c>
    </row>
    <row r="71" spans="1:39" ht="19" x14ac:dyDescent="0.25">
      <c r="A71" s="5" t="s">
        <v>62</v>
      </c>
      <c r="B71" s="1" t="s">
        <v>91</v>
      </c>
      <c r="C71" s="1">
        <v>22874222000</v>
      </c>
      <c r="D71" s="1">
        <v>22388202000</v>
      </c>
      <c r="E71" s="1">
        <v>23487463000</v>
      </c>
      <c r="F71" s="1" t="s">
        <v>91</v>
      </c>
    </row>
    <row r="72" spans="1:39" ht="19" x14ac:dyDescent="0.25">
      <c r="A72" s="6" t="s">
        <v>63</v>
      </c>
      <c r="B72" s="10" t="s">
        <v>91</v>
      </c>
      <c r="C72" s="10">
        <v>9019130000</v>
      </c>
      <c r="D72" s="10">
        <v>7176374000</v>
      </c>
      <c r="E72" s="10">
        <v>7975526000</v>
      </c>
      <c r="F72" s="10">
        <v>9913000000</v>
      </c>
    </row>
    <row r="73" spans="1:39" ht="20" thickBot="1" x14ac:dyDescent="0.3">
      <c r="A73" s="7" t="s">
        <v>64</v>
      </c>
      <c r="B73" s="11" t="s">
        <v>91</v>
      </c>
      <c r="C73" s="11">
        <v>14497506000</v>
      </c>
      <c r="D73" s="11">
        <v>12256505000</v>
      </c>
      <c r="E73" s="11">
        <v>14969996000</v>
      </c>
      <c r="F73" s="11">
        <v>17794000000</v>
      </c>
    </row>
    <row r="74" spans="1:39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</row>
    <row r="75" spans="1:39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</row>
    <row r="76" spans="1:39" ht="19" x14ac:dyDescent="0.25">
      <c r="A76" s="5" t="s">
        <v>66</v>
      </c>
      <c r="B76" s="1">
        <v>-2701603000</v>
      </c>
      <c r="C76" s="1">
        <v>-1371186000</v>
      </c>
      <c r="D76" s="1">
        <v>-1347571000</v>
      </c>
      <c r="E76" s="1">
        <v>-250313000</v>
      </c>
      <c r="F76" s="1">
        <v>1446000000</v>
      </c>
    </row>
    <row r="77" spans="1:39" ht="19" x14ac:dyDescent="0.25">
      <c r="A77" s="5" t="s">
        <v>13</v>
      </c>
      <c r="B77" s="1">
        <v>2947924000</v>
      </c>
      <c r="C77" s="1">
        <v>2678224000</v>
      </c>
      <c r="D77" s="1">
        <v>2522514000</v>
      </c>
      <c r="E77" s="1">
        <v>1618844000</v>
      </c>
      <c r="F77" s="1">
        <v>1623000000</v>
      </c>
    </row>
    <row r="78" spans="1:39" ht="19" x14ac:dyDescent="0.25">
      <c r="A78" s="5" t="s">
        <v>67</v>
      </c>
      <c r="B78" s="1">
        <v>3693000</v>
      </c>
      <c r="C78" s="1">
        <v>214272000</v>
      </c>
      <c r="D78" s="1">
        <v>-37749000</v>
      </c>
      <c r="E78" s="1">
        <v>92994000</v>
      </c>
      <c r="F78" s="1">
        <v>82000000</v>
      </c>
    </row>
    <row r="79" spans="1:39" ht="19" x14ac:dyDescent="0.25">
      <c r="A79" s="5" t="s">
        <v>68</v>
      </c>
      <c r="B79" s="1">
        <v>5530000</v>
      </c>
      <c r="C79" s="1">
        <v>0</v>
      </c>
      <c r="D79" s="1">
        <v>980000</v>
      </c>
      <c r="E79" s="1">
        <v>223402000</v>
      </c>
      <c r="F79" s="1">
        <v>0</v>
      </c>
    </row>
    <row r="80" spans="1:39" ht="19" x14ac:dyDescent="0.25">
      <c r="A80" s="14" t="s">
        <v>103</v>
      </c>
      <c r="B80" s="15">
        <f t="shared" ref="B80:K80" si="9">B79/B3</f>
        <v>8.925056798383612E-4</v>
      </c>
      <c r="C80" s="15">
        <f t="shared" si="9"/>
        <v>0</v>
      </c>
      <c r="D80" s="15">
        <f t="shared" si="9"/>
        <v>2.0204081843024592E-4</v>
      </c>
      <c r="E80" s="15">
        <f t="shared" si="9"/>
        <v>3.3925485176411703E-2</v>
      </c>
      <c r="F80" s="15">
        <f t="shared" si="9"/>
        <v>0</v>
      </c>
      <c r="G80" s="15"/>
      <c r="H80" s="15"/>
      <c r="I80" s="15"/>
      <c r="J80" s="15"/>
      <c r="K80" s="15"/>
      <c r="L80" s="15"/>
      <c r="M80" s="15"/>
      <c r="N80" s="15"/>
      <c r="O80" s="15"/>
      <c r="AI80" s="15"/>
      <c r="AJ80" s="15"/>
      <c r="AK80" s="15"/>
      <c r="AL80" s="15"/>
      <c r="AM80" s="15"/>
    </row>
    <row r="81" spans="1:47" ht="19" x14ac:dyDescent="0.25">
      <c r="A81" s="5" t="s">
        <v>69</v>
      </c>
      <c r="B81" s="1">
        <v>-448916000</v>
      </c>
      <c r="C81" s="1">
        <v>-284845000</v>
      </c>
      <c r="D81" s="1">
        <v>59392000</v>
      </c>
      <c r="E81" s="1">
        <v>1229812000</v>
      </c>
      <c r="F81" s="1">
        <v>-175000000</v>
      </c>
    </row>
    <row r="82" spans="1:47" ht="19" x14ac:dyDescent="0.25">
      <c r="A82" s="5" t="s">
        <v>70</v>
      </c>
      <c r="B82" s="1">
        <v>-187952000</v>
      </c>
      <c r="C82" s="1">
        <v>-143710000</v>
      </c>
      <c r="D82" s="1">
        <v>752862000</v>
      </c>
      <c r="E82" s="1">
        <v>-387448000</v>
      </c>
      <c r="F82" s="1" t="s">
        <v>91</v>
      </c>
    </row>
    <row r="83" spans="1:47" ht="21" x14ac:dyDescent="0.25">
      <c r="A83" s="5" t="s">
        <v>34</v>
      </c>
      <c r="B83" s="1">
        <v>-28524000</v>
      </c>
      <c r="C83" s="1">
        <v>-42325000</v>
      </c>
      <c r="D83" s="1">
        <v>-559876000</v>
      </c>
      <c r="E83" s="1">
        <v>-201732000</v>
      </c>
      <c r="F83" s="1" t="s">
        <v>91</v>
      </c>
      <c r="M83" s="50" t="s">
        <v>134</v>
      </c>
      <c r="N83" s="51"/>
    </row>
    <row r="84" spans="1:47" ht="19" x14ac:dyDescent="0.25">
      <c r="A84" s="5" t="s">
        <v>47</v>
      </c>
      <c r="B84" s="1">
        <v>-69406000</v>
      </c>
      <c r="C84" s="1">
        <v>-96868000</v>
      </c>
      <c r="D84" s="1">
        <v>-154514000</v>
      </c>
      <c r="E84" s="1">
        <v>1828946000</v>
      </c>
      <c r="F84" s="1" t="s">
        <v>91</v>
      </c>
      <c r="M84" s="52" t="s">
        <v>135</v>
      </c>
      <c r="N84" s="52"/>
    </row>
    <row r="85" spans="1:47" ht="20" x14ac:dyDescent="0.25">
      <c r="A85" s="5" t="s">
        <v>71</v>
      </c>
      <c r="B85" s="1">
        <v>-168245000</v>
      </c>
      <c r="C85" s="1" t="s">
        <v>91</v>
      </c>
      <c r="D85" s="1" t="s">
        <v>91</v>
      </c>
      <c r="E85" s="1" t="s">
        <v>91</v>
      </c>
      <c r="F85" s="1" t="s">
        <v>91</v>
      </c>
      <c r="M85" s="23" t="s">
        <v>136</v>
      </c>
      <c r="N85" s="24">
        <f>E17</f>
        <v>98850000</v>
      </c>
    </row>
    <row r="86" spans="1:47" ht="20" x14ac:dyDescent="0.25">
      <c r="A86" s="5" t="s">
        <v>72</v>
      </c>
      <c r="B86" s="1">
        <v>472681000</v>
      </c>
      <c r="C86" s="1">
        <v>-739646000</v>
      </c>
      <c r="D86" s="1">
        <v>-191669000</v>
      </c>
      <c r="E86" s="1">
        <v>-75709000</v>
      </c>
      <c r="F86" s="1">
        <v>-352000000</v>
      </c>
      <c r="M86" s="23" t="s">
        <v>137</v>
      </c>
      <c r="N86" s="24">
        <f>E56</f>
        <v>432237000</v>
      </c>
    </row>
    <row r="87" spans="1:47" ht="20" x14ac:dyDescent="0.25">
      <c r="A87" s="6" t="s">
        <v>73</v>
      </c>
      <c r="B87" s="10">
        <v>279309000</v>
      </c>
      <c r="C87" s="10">
        <v>496819000</v>
      </c>
      <c r="D87" s="10">
        <v>1005897000</v>
      </c>
      <c r="E87" s="10">
        <v>2839030000</v>
      </c>
      <c r="F87" s="10">
        <v>2624000000</v>
      </c>
      <c r="M87" s="23" t="s">
        <v>138</v>
      </c>
      <c r="N87" s="24">
        <f>E61</f>
        <v>2006380000</v>
      </c>
    </row>
    <row r="88" spans="1:47" ht="20" x14ac:dyDescent="0.25">
      <c r="A88" s="5" t="s">
        <v>74</v>
      </c>
      <c r="B88" s="1">
        <v>-1150255000</v>
      </c>
      <c r="C88" s="1">
        <v>-587934000</v>
      </c>
      <c r="D88" s="1">
        <v>-449288000</v>
      </c>
      <c r="E88" s="1">
        <v>-1661565000</v>
      </c>
      <c r="F88" s="1">
        <v>-3059000000</v>
      </c>
      <c r="M88" s="53" t="s">
        <v>139</v>
      </c>
      <c r="N88" s="54">
        <f>N85/(N86+N87)</f>
        <v>4.0535270606249361E-2</v>
      </c>
    </row>
    <row r="89" spans="1:47" ht="20" customHeight="1" x14ac:dyDescent="0.25">
      <c r="A89" s="14" t="s">
        <v>104</v>
      </c>
      <c r="B89" s="15">
        <f t="shared" ref="B89:K89" si="10">(-1*B88)/B3</f>
        <v>0.18564360230786153</v>
      </c>
      <c r="C89" s="15">
        <f t="shared" si="10"/>
        <v>0.1011449239160279</v>
      </c>
      <c r="D89" s="15">
        <f t="shared" si="10"/>
        <v>9.2627056358049312E-2</v>
      </c>
      <c r="E89" s="15">
        <f t="shared" si="10"/>
        <v>0.25232271321270405</v>
      </c>
      <c r="F89" s="15">
        <f t="shared" si="10"/>
        <v>0.37728169708929454</v>
      </c>
      <c r="M89" s="23" t="s">
        <v>105</v>
      </c>
      <c r="N89" s="24">
        <f>E27</f>
        <v>78267000</v>
      </c>
      <c r="O89" s="15"/>
      <c r="AI89" s="15"/>
      <c r="AJ89" s="15"/>
      <c r="AK89" s="15"/>
      <c r="AL89" s="15"/>
      <c r="AM89" s="15"/>
      <c r="AT89" s="25" t="s">
        <v>105</v>
      </c>
      <c r="AU89" s="26">
        <f>AM27</f>
        <v>0</v>
      </c>
    </row>
    <row r="90" spans="1:47" ht="20" x14ac:dyDescent="0.25">
      <c r="A90" s="5" t="s">
        <v>75</v>
      </c>
      <c r="B90" s="1">
        <v>36300000</v>
      </c>
      <c r="C90" s="1">
        <v>832627000</v>
      </c>
      <c r="D90" s="1">
        <v>4133000</v>
      </c>
      <c r="E90" s="1" t="s">
        <v>91</v>
      </c>
      <c r="F90" s="1" t="s">
        <v>91</v>
      </c>
      <c r="M90" s="23" t="s">
        <v>19</v>
      </c>
      <c r="N90" s="24">
        <f>E25</f>
        <v>-175664000</v>
      </c>
    </row>
    <row r="91" spans="1:47" ht="20" x14ac:dyDescent="0.25">
      <c r="A91" s="5" t="s">
        <v>76</v>
      </c>
      <c r="B91" s="1">
        <v>-720000</v>
      </c>
      <c r="C91" s="1">
        <v>-1382000</v>
      </c>
      <c r="D91" s="1">
        <v>-261000</v>
      </c>
      <c r="E91" s="1" t="s">
        <v>91</v>
      </c>
      <c r="F91" s="1" t="s">
        <v>91</v>
      </c>
      <c r="M91" s="53" t="s">
        <v>140</v>
      </c>
      <c r="N91" s="54">
        <f>N89/N90</f>
        <v>-0.44554945805628926</v>
      </c>
    </row>
    <row r="92" spans="1:47" ht="20" x14ac:dyDescent="0.25">
      <c r="A92" s="5" t="s">
        <v>77</v>
      </c>
      <c r="B92" s="1">
        <v>29977000</v>
      </c>
      <c r="C92" s="1">
        <v>4020000</v>
      </c>
      <c r="D92" s="1" t="s">
        <v>91</v>
      </c>
      <c r="E92" s="1" t="s">
        <v>91</v>
      </c>
      <c r="F92" s="1" t="s">
        <v>91</v>
      </c>
      <c r="M92" s="53" t="s">
        <v>141</v>
      </c>
      <c r="N92" s="54">
        <f>N88*(1-N91)</f>
        <v>5.8595738457028798E-2</v>
      </c>
    </row>
    <row r="93" spans="1:47" ht="19" x14ac:dyDescent="0.25">
      <c r="A93" s="5" t="s">
        <v>78</v>
      </c>
      <c r="B93" s="1">
        <v>-82481000</v>
      </c>
      <c r="C93" s="1">
        <v>96418000</v>
      </c>
      <c r="D93" s="1">
        <v>79251000</v>
      </c>
      <c r="E93" s="1">
        <v>211279000</v>
      </c>
      <c r="F93" s="1">
        <v>-999000000</v>
      </c>
      <c r="M93" s="52" t="s">
        <v>142</v>
      </c>
      <c r="N93" s="52"/>
    </row>
    <row r="94" spans="1:47" ht="20" x14ac:dyDescent="0.25">
      <c r="A94" s="6" t="s">
        <v>79</v>
      </c>
      <c r="B94" s="10">
        <v>-1167179000</v>
      </c>
      <c r="C94" s="10">
        <v>343749000</v>
      </c>
      <c r="D94" s="10">
        <v>-366165000</v>
      </c>
      <c r="E94" s="10">
        <v>-1450286000</v>
      </c>
      <c r="F94" s="10">
        <v>-4058000000</v>
      </c>
      <c r="M94" s="23" t="s">
        <v>143</v>
      </c>
      <c r="N94" s="55">
        <f>[2]Treasuries!$C$8</f>
        <v>3.8190000000000002E-2</v>
      </c>
    </row>
    <row r="95" spans="1:47" ht="20" x14ac:dyDescent="0.25">
      <c r="A95" s="5" t="s">
        <v>80</v>
      </c>
      <c r="B95" s="1">
        <v>-2064379000</v>
      </c>
      <c r="C95" s="1">
        <v>-3805845000</v>
      </c>
      <c r="D95" s="1">
        <v>-3844110000</v>
      </c>
      <c r="E95" s="1">
        <v>-1528451000</v>
      </c>
      <c r="F95" s="1" t="s">
        <v>91</v>
      </c>
      <c r="M95" s="23" t="s">
        <v>144</v>
      </c>
      <c r="N95" s="56" cm="1">
        <f t="array" ref="N95">_FV(A1,"Beta")</f>
        <v>1.885</v>
      </c>
    </row>
    <row r="96" spans="1:47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1444496000</v>
      </c>
      <c r="F96" s="1">
        <v>168000000</v>
      </c>
      <c r="M96" s="23" t="s">
        <v>145</v>
      </c>
      <c r="N96" s="55">
        <v>8.4000000000000005E-2</v>
      </c>
    </row>
    <row r="97" spans="1:47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 t="s">
        <v>91</v>
      </c>
      <c r="M97" s="53" t="s">
        <v>146</v>
      </c>
      <c r="N97" s="54">
        <f>(N94)+((N95)*(N96-N94))</f>
        <v>0.12454185000000001</v>
      </c>
    </row>
    <row r="98" spans="1:47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0</v>
      </c>
      <c r="M98" s="52" t="s">
        <v>147</v>
      </c>
      <c r="N98" s="52"/>
    </row>
    <row r="99" spans="1:47" ht="20" x14ac:dyDescent="0.25">
      <c r="A99" s="5" t="s">
        <v>84</v>
      </c>
      <c r="B99" s="1">
        <v>3196463000</v>
      </c>
      <c r="C99" s="1">
        <v>3122013000</v>
      </c>
      <c r="D99" s="1">
        <v>3111367000</v>
      </c>
      <c r="E99" s="1">
        <v>734395000</v>
      </c>
      <c r="F99" s="1">
        <v>674000000</v>
      </c>
      <c r="M99" s="23" t="s">
        <v>148</v>
      </c>
      <c r="N99" s="24">
        <f>N86+N87</f>
        <v>2438617000</v>
      </c>
    </row>
    <row r="100" spans="1:47" ht="20" x14ac:dyDescent="0.25">
      <c r="A100" s="6" t="s">
        <v>85</v>
      </c>
      <c r="B100" s="10">
        <v>1132084000</v>
      </c>
      <c r="C100" s="10">
        <v>-683832000</v>
      </c>
      <c r="D100" s="10">
        <v>-732743000</v>
      </c>
      <c r="E100" s="10">
        <v>650440000</v>
      </c>
      <c r="F100" s="10">
        <v>842000000</v>
      </c>
      <c r="M100" s="53" t="s">
        <v>149</v>
      </c>
      <c r="N100" s="54">
        <f>N99/N103</f>
        <v>6.3903627188722625E-2</v>
      </c>
    </row>
    <row r="101" spans="1:47" ht="20" x14ac:dyDescent="0.25">
      <c r="A101" s="5" t="s">
        <v>86</v>
      </c>
      <c r="B101" s="1">
        <v>-1301000</v>
      </c>
      <c r="C101" s="1">
        <v>-3399000</v>
      </c>
      <c r="D101" s="1">
        <v>3773000</v>
      </c>
      <c r="E101" s="1">
        <v>-8074000</v>
      </c>
      <c r="F101" s="1">
        <v>5000000</v>
      </c>
      <c r="M101" s="23" t="s">
        <v>150</v>
      </c>
      <c r="N101" s="57" cm="1">
        <f t="array" ref="N101">_FV(A1,"Market cap",TRUE)</f>
        <v>35722237200</v>
      </c>
    </row>
    <row r="102" spans="1:47" ht="20" x14ac:dyDescent="0.25">
      <c r="A102" s="6" t="s">
        <v>87</v>
      </c>
      <c r="B102" s="10">
        <v>242913000</v>
      </c>
      <c r="C102" s="10">
        <v>153337000</v>
      </c>
      <c r="D102" s="10">
        <v>-89238000</v>
      </c>
      <c r="E102" s="10">
        <v>2031110000</v>
      </c>
      <c r="F102" s="10">
        <v>-587000000</v>
      </c>
      <c r="M102" s="53" t="s">
        <v>151</v>
      </c>
      <c r="N102" s="54">
        <f>N101/N103</f>
        <v>0.93609637281127733</v>
      </c>
    </row>
    <row r="103" spans="1:47" ht="20" x14ac:dyDescent="0.25">
      <c r="A103" s="5" t="s">
        <v>88</v>
      </c>
      <c r="B103" s="1">
        <v>601065000</v>
      </c>
      <c r="C103" s="1">
        <v>843978000</v>
      </c>
      <c r="D103" s="1">
        <v>997315000</v>
      </c>
      <c r="E103" s="1">
        <v>908077000</v>
      </c>
      <c r="F103" s="1">
        <v>2939000000</v>
      </c>
      <c r="M103" s="53" t="s">
        <v>152</v>
      </c>
      <c r="N103" s="58">
        <f>N99+N101</f>
        <v>38160854200</v>
      </c>
    </row>
    <row r="104" spans="1:47" ht="20" thickBot="1" x14ac:dyDescent="0.3">
      <c r="A104" s="7" t="s">
        <v>89</v>
      </c>
      <c r="B104" s="11">
        <v>843978000</v>
      </c>
      <c r="C104" s="11">
        <v>997315000</v>
      </c>
      <c r="D104" s="11">
        <v>908077000</v>
      </c>
      <c r="E104" s="11">
        <v>2939187000</v>
      </c>
      <c r="F104" s="11">
        <v>2352000000</v>
      </c>
      <c r="M104" s="52" t="s">
        <v>153</v>
      </c>
      <c r="N104" s="52"/>
    </row>
    <row r="105" spans="1:47" ht="21" thickTop="1" x14ac:dyDescent="0.25">
      <c r="A105" s="14" t="s">
        <v>109</v>
      </c>
      <c r="B105" s="1">
        <f t="shared" ref="B105:J105" si="11">(B22*(1-0.2))+B77+B88+B81</f>
        <v>-669879000</v>
      </c>
      <c r="C105" s="1">
        <f t="shared" si="11"/>
        <v>505608200</v>
      </c>
      <c r="D105" s="1">
        <f t="shared" si="11"/>
        <v>807801200</v>
      </c>
      <c r="E105" s="1">
        <f t="shared" si="11"/>
        <v>1139241400</v>
      </c>
      <c r="F105" s="1">
        <f t="shared" si="11"/>
        <v>-677400000</v>
      </c>
      <c r="G105" s="32">
        <f>F105*(1+$N$106)</f>
        <v>-719448457.67586029</v>
      </c>
      <c r="H105" s="32">
        <f t="shared" ref="H105:K105" si="12">G105*(1+$N$106)</f>
        <v>-764107002.14374685</v>
      </c>
      <c r="I105" s="32">
        <f t="shared" si="12"/>
        <v>-811537650.12052548</v>
      </c>
      <c r="J105" s="32">
        <f t="shared" si="12"/>
        <v>-861912475.23635077</v>
      </c>
      <c r="K105" s="32">
        <f t="shared" si="12"/>
        <v>-915414232.30052507</v>
      </c>
      <c r="L105" s="28" t="s">
        <v>110</v>
      </c>
      <c r="M105" s="33" t="s">
        <v>111</v>
      </c>
      <c r="N105" s="34">
        <f>(N100*N92)+(N102*N97)</f>
        <v>0.12032765427341205</v>
      </c>
      <c r="O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35" t="s">
        <v>111</v>
      </c>
      <c r="AU105" s="36">
        <f>(AU100*AU92)+(AU102*AU97)</f>
        <v>0</v>
      </c>
    </row>
    <row r="106" spans="1:47" ht="19" x14ac:dyDescent="0.25">
      <c r="A106" s="14" t="s">
        <v>106</v>
      </c>
      <c r="B106" s="1"/>
      <c r="C106" s="15">
        <f t="shared" ref="C106:L106" si="13">(C107/B107)-1</f>
        <v>-0.73697522316684883</v>
      </c>
      <c r="D106" s="15">
        <f t="shared" si="13"/>
        <v>-2.4978641226960967</v>
      </c>
      <c r="E106" s="15">
        <f t="shared" si="13"/>
        <v>1.5947524122600139</v>
      </c>
      <c r="F106" s="15">
        <f t="shared" si="13"/>
        <v>-1.40552105260214</v>
      </c>
      <c r="G106" s="27">
        <v>345200000</v>
      </c>
      <c r="H106" s="27">
        <v>1812000000</v>
      </c>
      <c r="I106" s="27">
        <v>2225000000</v>
      </c>
      <c r="J106" s="27">
        <v>2550000000</v>
      </c>
      <c r="K106" s="27">
        <v>2750000000</v>
      </c>
      <c r="L106" s="28" t="s">
        <v>107</v>
      </c>
      <c r="M106" s="29" t="s">
        <v>108</v>
      </c>
      <c r="N106" s="30">
        <f>(SUM(G4:K4)/5)</f>
        <v>6.2073306282640073E-2</v>
      </c>
    </row>
    <row r="107" spans="1:47" ht="19" x14ac:dyDescent="0.25">
      <c r="A107" s="37" t="s">
        <v>112</v>
      </c>
      <c r="B107" s="1">
        <v>-1049327000</v>
      </c>
      <c r="C107" s="1">
        <v>-275999000</v>
      </c>
      <c r="D107" s="1">
        <v>413409000</v>
      </c>
      <c r="E107" s="1">
        <v>1072694000</v>
      </c>
      <c r="F107" s="1">
        <v>-435000000</v>
      </c>
      <c r="G107" s="28"/>
      <c r="H107" s="28"/>
      <c r="I107" s="28"/>
      <c r="J107" s="28"/>
      <c r="K107" s="59">
        <f>K106*(1+N107)/(N108-N107)</f>
        <v>29569069138.273975</v>
      </c>
      <c r="L107" s="60" t="s">
        <v>154</v>
      </c>
      <c r="M107" s="61" t="s">
        <v>155</v>
      </c>
      <c r="N107" s="62">
        <v>2.5000000000000001E-2</v>
      </c>
    </row>
    <row r="108" spans="1:47" ht="19" x14ac:dyDescent="0.25">
      <c r="A108" s="5"/>
      <c r="B108" s="13"/>
      <c r="C108" s="13"/>
      <c r="D108" s="13"/>
      <c r="E108" s="13"/>
      <c r="F108" s="13"/>
      <c r="G108" s="59">
        <f t="shared" ref="G108:I108" si="14">G107+G106</f>
        <v>345200000</v>
      </c>
      <c r="H108" s="59">
        <f t="shared" si="14"/>
        <v>1812000000</v>
      </c>
      <c r="I108" s="59">
        <f t="shared" si="14"/>
        <v>2225000000</v>
      </c>
      <c r="J108" s="59">
        <f>J107+J106</f>
        <v>2550000000</v>
      </c>
      <c r="K108" s="59">
        <f>K107+K106</f>
        <v>32319069138.273975</v>
      </c>
      <c r="L108" s="60" t="s">
        <v>152</v>
      </c>
      <c r="M108" s="63" t="s">
        <v>156</v>
      </c>
      <c r="N108" s="30">
        <f>N105</f>
        <v>0.12032765427341205</v>
      </c>
    </row>
    <row r="109" spans="1:47" ht="19" x14ac:dyDescent="0.25">
      <c r="G109" s="64" t="s">
        <v>157</v>
      </c>
      <c r="H109" s="64"/>
    </row>
    <row r="110" spans="1:47" ht="20" x14ac:dyDescent="0.25">
      <c r="G110" s="65" t="s">
        <v>158</v>
      </c>
      <c r="H110" s="57">
        <f>NPV(N108,G108,H108,I108,J108,K108)</f>
        <v>23264699175.244587</v>
      </c>
    </row>
    <row r="111" spans="1:47" ht="20" x14ac:dyDescent="0.25">
      <c r="G111" s="65" t="s">
        <v>159</v>
      </c>
      <c r="H111" s="57">
        <f>E40</f>
        <v>2939187000</v>
      </c>
    </row>
    <row r="112" spans="1:47" ht="20" x14ac:dyDescent="0.25">
      <c r="G112" s="65" t="s">
        <v>148</v>
      </c>
      <c r="H112" s="57">
        <f>N99</f>
        <v>2438617000</v>
      </c>
    </row>
    <row r="113" spans="7:8" ht="20" x14ac:dyDescent="0.25">
      <c r="G113" s="65" t="s">
        <v>160</v>
      </c>
      <c r="H113" s="57">
        <f>H110+H111-H112</f>
        <v>23765269175.244587</v>
      </c>
    </row>
    <row r="114" spans="7:8" ht="20" x14ac:dyDescent="0.25">
      <c r="G114" s="65" t="s">
        <v>161</v>
      </c>
      <c r="H114" s="65">
        <f>E34*(1+(5*L16))</f>
        <v>534529249.5788027</v>
      </c>
    </row>
    <row r="115" spans="7:8" ht="20" x14ac:dyDescent="0.25">
      <c r="G115" s="66" t="s">
        <v>162</v>
      </c>
      <c r="H115" s="67">
        <f>H113/H114</f>
        <v>44.460184721362012</v>
      </c>
    </row>
    <row r="116" spans="7:8" ht="20" x14ac:dyDescent="0.25">
      <c r="G116" s="65" t="s">
        <v>163</v>
      </c>
      <c r="H116" s="68" cm="1">
        <f t="array" ref="H116">_FV(A1,"Price")</f>
        <v>64.739999999999995</v>
      </c>
    </row>
    <row r="117" spans="7:8" ht="20" x14ac:dyDescent="0.25">
      <c r="G117" s="66" t="s">
        <v>164</v>
      </c>
      <c r="H117" s="69">
        <f>H115/H116-1</f>
        <v>-0.31325015876796392</v>
      </c>
    </row>
    <row r="118" spans="7:8" ht="20" x14ac:dyDescent="0.25">
      <c r="G118" s="66" t="s">
        <v>165</v>
      </c>
      <c r="H118" s="70" t="str">
        <f>IF(H115&gt;H116,"BUY","SELL")</f>
        <v>SELL</v>
      </c>
    </row>
  </sheetData>
  <mergeCells count="6">
    <mergeCell ref="M83:N83"/>
    <mergeCell ref="M84:N84"/>
    <mergeCell ref="M93:N93"/>
    <mergeCell ref="M98:N98"/>
    <mergeCell ref="M104:N104"/>
    <mergeCell ref="G109:H109"/>
  </mergeCells>
  <hyperlinks>
    <hyperlink ref="A1" r:id="rId1" tooltip="https://roic.ai/company/GFS" display="ROIC.AI | GFS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1" r:id="rId12" display="https://finbox.com/NASDAQGS:GFS/explorer/revenue_proj" xr:uid="{C89D299E-85D6-A84F-AAC3-3CE86B5211AF}"/>
    <hyperlink ref="L106" r:id="rId13" xr:uid="{60B56B5B-30E4-764D-8293-BDB53ED7E175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2023-05-17T07:59:41Z</dcterms:created>
  <dcterms:modified xsi:type="dcterms:W3CDTF">2023-07-03T22:25:42Z</dcterms:modified>
</cp:coreProperties>
</file>