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D514CE4C-5601-894B-83F3-68BA52FF28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<sst xmlns="http://schemas.openxmlformats.org/spreadsheetml/2006/main" count="638" uniqueCount="167">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</sst>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5147809193008935"/>
          <c:w val="0.85757095709570952"/>
          <c:h val="0.65111135358274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96408617239678"/>
          <c:y val="0.89943741529278698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9525</xdr:rowOff>
    </xdr:from>
    <xdr:to>
      <xdr:col>31</xdr:col>
      <xdr:colOff>15875</xdr:colOff>
      <xdr:row>125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1160.5</v>
    <v>0.73450000000000004</v>
    <v>-0.4</v>
    <v>-2.1080000000000003E-4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1920</v>
    <v>Textiles &amp; Apparel</v>
    <v>Stock</v>
    <v>45132.666666666664</v>
    <v>0</v>
    <v>1891.4</v>
    <v>202165400000</v>
    <v>Hermes International SCA</v>
    <v>Hermes International SCA</v>
    <v>1911.8</v>
    <v>58.924700000000001</v>
    <v>1897.4</v>
    <v>1897</v>
    <v>105569400</v>
    <v>RMS</v>
    <v>Hermes International SCA (XPAR:RMS)</v>
    <v>36849</v>
    <v>50170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U99" activePane="bottomRight" state="frozen"/>
      <selection pane="topRight"/>
      <selection pane="bottomLeft"/>
      <selection pane="bottomRight" activeCell="V124" sqref="V124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40">
        <f>AE101/W3</f>
        <v>17.425047405619722</v>
      </c>
      <c r="AE16" s="40">
        <f>AE101/W28</f>
        <v>60.04318384318384</v>
      </c>
      <c r="AF16" s="41">
        <f>AE101/W107</f>
        <v>48.318690248565964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5">
        <v>6266000000</v>
      </c>
      <c r="Y19" s="35">
        <v>7063000000</v>
      </c>
      <c r="Z19" s="35">
        <v>7853000000</v>
      </c>
      <c r="AA19" s="35">
        <v>7706000004</v>
      </c>
      <c r="AB19" s="35">
        <v>8341000005</v>
      </c>
      <c r="AC19" s="26">
        <f>W40-W56-W61</f>
        <v>7291000000</v>
      </c>
      <c r="AD19" s="40">
        <f>AE101/X3</f>
        <v>14.882611896348646</v>
      </c>
      <c r="AE19" s="40">
        <f>AE101/X28</f>
        <v>53.0478614536867</v>
      </c>
      <c r="AF19" s="41">
        <f>AE101/X106</f>
        <v>52.702137643378521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34">
        <v>0.4572</v>
      </c>
      <c r="X21" s="36">
        <f>X19/X3</f>
        <v>0.46127797408716137</v>
      </c>
      <c r="Y21" s="36">
        <f t="shared" ref="Y21:AB21" si="9">Y19/Y3</f>
        <v>0.46378619738656512</v>
      </c>
      <c r="Z21" s="36">
        <f t="shared" si="9"/>
        <v>0.47224727885020146</v>
      </c>
      <c r="AA21" s="36">
        <f t="shared" si="9"/>
        <v>0.43197488670889622</v>
      </c>
      <c r="AB21" s="36">
        <f t="shared" si="9"/>
        <v>0.43199709990677437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33">
        <v>4697000000</v>
      </c>
      <c r="AE22" s="42">
        <f>(-1*W98)/AE101</f>
        <v>4.214371005127485E-3</v>
      </c>
      <c r="AF22" s="43">
        <f>W107/AE101</f>
        <v>2.0695925217668304E-2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7">
        <v>3811000000</v>
      </c>
      <c r="Y28" s="37">
        <v>4438000000</v>
      </c>
      <c r="Z28" s="37">
        <v>4803000000</v>
      </c>
      <c r="AA28" s="37">
        <v>4746000000</v>
      </c>
      <c r="AB28" s="37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8">
        <f>X28/X3</f>
        <v>0.28055064782096584</v>
      </c>
      <c r="Y30" s="38">
        <f t="shared" ref="Y30:AB30" si="16">Y28/Y3</f>
        <v>0.29141768993367917</v>
      </c>
      <c r="Z30" s="38">
        <f t="shared" si="16"/>
        <v>0.28883276204221542</v>
      </c>
      <c r="AA30" s="38">
        <f t="shared" si="16"/>
        <v>0.2660463030438926</v>
      </c>
      <c r="AB30" s="38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9">
        <v>37.119999999999997</v>
      </c>
      <c r="Y31" s="39">
        <v>42.45</v>
      </c>
      <c r="Z31" s="39">
        <v>45.94</v>
      </c>
      <c r="AA31" s="39">
        <v>45.4</v>
      </c>
      <c r="AB31" s="39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66" t="s">
        <v>124</v>
      </c>
      <c r="AE83" s="67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68" t="s">
        <v>125</v>
      </c>
      <c r="AE84" s="68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44" t="s">
        <v>126</v>
      </c>
      <c r="AE85" s="45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44" t="s">
        <v>127</v>
      </c>
      <c r="AE86" s="45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44" t="s">
        <v>128</v>
      </c>
      <c r="AE87" s="45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46" t="s">
        <v>129</v>
      </c>
      <c r="AE88" s="47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44" t="s">
        <v>105</v>
      </c>
      <c r="AE89" s="45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44" t="s">
        <v>19</v>
      </c>
      <c r="AE90" s="45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46" t="s">
        <v>130</v>
      </c>
      <c r="AE91" s="47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46" t="s">
        <v>131</v>
      </c>
      <c r="AE92" s="47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68" t="s">
        <v>132</v>
      </c>
      <c r="AE93" s="68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44" t="s">
        <v>133</v>
      </c>
      <c r="AE94" s="48">
        <f>[1]Treasuries!$C$8</f>
        <v>3.9120000000000002E-2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44" t="s">
        <v>134</v>
      </c>
      <c r="AE95" s="49" cm="1">
        <f t="array" ref="AE95">_FV(A1,"Beta")</f>
        <v>0.73450000000000004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44" t="s">
        <v>135</v>
      </c>
      <c r="AE96" s="48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46" t="s">
        <v>136</v>
      </c>
      <c r="AE97" s="47">
        <f>(AE94)+((AE95)*(AE96-AE94))</f>
        <v>7.2084360000000014E-2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68" t="s">
        <v>137</v>
      </c>
      <c r="AE98" s="68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44" t="s">
        <v>138</v>
      </c>
      <c r="AE99" s="45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46" t="s">
        <v>139</v>
      </c>
      <c r="AE100" s="47">
        <f>AE99/AE103</f>
        <v>9.4757750390251031E-3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44" t="s">
        <v>140</v>
      </c>
      <c r="AE101" s="50" cm="1">
        <f t="array" ref="AE101">_FV(A1,"Market cap",TRUE)</f>
        <v>202165400000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46" t="s">
        <v>141</v>
      </c>
      <c r="AE102" s="47">
        <f>AE101/AE103</f>
        <v>0.99052422496097492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46" t="s">
        <v>142</v>
      </c>
      <c r="AE103" s="51">
        <f>AE99+AE101</f>
        <v>204099400000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68" t="s">
        <v>143</v>
      </c>
      <c r="AE104" s="68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27">
        <f>W105*(1+$AE$106)</f>
        <v>4491601563.6141996</v>
      </c>
      <c r="Y105" s="27">
        <f t="shared" ref="Y105:AB105" si="21">X105*(1+$AE$106)</f>
        <v>4975771912.2378273</v>
      </c>
      <c r="Z105" s="27">
        <f t="shared" si="21"/>
        <v>5512133205.0416632</v>
      </c>
      <c r="AA105" s="27">
        <f t="shared" si="21"/>
        <v>6106311343.4510317</v>
      </c>
      <c r="AB105" s="27">
        <f t="shared" si="21"/>
        <v>6764538670.6283178</v>
      </c>
      <c r="AC105" s="28" t="s">
        <v>160</v>
      </c>
      <c r="AD105" s="52" t="s">
        <v>106</v>
      </c>
      <c r="AE105" s="53">
        <f>(AE100*AE92)+(AE102*AE97)</f>
        <v>7.1183059743554447E-2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31">
        <v>3836000000</v>
      </c>
      <c r="Y106" s="31">
        <v>4387000000</v>
      </c>
      <c r="Z106" s="31">
        <v>4965000000</v>
      </c>
      <c r="AA106" s="31">
        <v>4663000000</v>
      </c>
      <c r="AB106" s="31">
        <v>5007000000</v>
      </c>
      <c r="AC106" s="28" t="s">
        <v>161</v>
      </c>
      <c r="AD106" s="54" t="s">
        <v>144</v>
      </c>
      <c r="AE106" s="55">
        <f>(SUM(X4:AB4)/5)</f>
        <v>0.1077945899177299</v>
      </c>
    </row>
    <row r="107" spans="1:31" ht="19" x14ac:dyDescent="0.25">
      <c r="A107" s="30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28"/>
      <c r="Y107" s="28"/>
      <c r="Z107" s="28"/>
      <c r="AA107" s="28"/>
      <c r="AB107" s="32">
        <f>AB106*(1+AE107)/(AE108-AE107)</f>
        <v>111126786066.10239</v>
      </c>
      <c r="AC107" s="29" t="s">
        <v>145</v>
      </c>
      <c r="AD107" s="56" t="s">
        <v>146</v>
      </c>
      <c r="AE107" s="57">
        <v>2.5000000000000001E-2</v>
      </c>
    </row>
    <row r="108" spans="1:31" ht="19" x14ac:dyDescent="0.25">
      <c r="X108" s="32">
        <f t="shared" ref="X108:AA108" si="23">X107+X106</f>
        <v>3836000000</v>
      </c>
      <c r="Y108" s="32">
        <f t="shared" si="23"/>
        <v>4387000000</v>
      </c>
      <c r="Z108" s="32">
        <f t="shared" si="23"/>
        <v>4965000000</v>
      </c>
      <c r="AA108" s="32">
        <f t="shared" si="23"/>
        <v>4663000000</v>
      </c>
      <c r="AB108" s="32">
        <f>AB107+AB106</f>
        <v>116133786066.10239</v>
      </c>
      <c r="AC108" s="29" t="s">
        <v>142</v>
      </c>
      <c r="AD108" s="58" t="s">
        <v>147</v>
      </c>
      <c r="AE108" s="55">
        <f>AE105</f>
        <v>7.1183059743554447E-2</v>
      </c>
    </row>
    <row r="109" spans="1:31" ht="19" x14ac:dyDescent="0.25">
      <c r="X109" s="65" t="s">
        <v>148</v>
      </c>
      <c r="Y109" s="65"/>
    </row>
    <row r="110" spans="1:31" ht="20" x14ac:dyDescent="0.25">
      <c r="X110" s="59" t="s">
        <v>149</v>
      </c>
      <c r="Y110" s="50">
        <f>NPV(AE108,X108,Y108,Z108,AA108,AB108)</f>
        <v>97331143943.65976</v>
      </c>
    </row>
    <row r="111" spans="1:31" ht="20" x14ac:dyDescent="0.25">
      <c r="X111" s="59" t="s">
        <v>150</v>
      </c>
      <c r="Y111" s="50">
        <f>W40</f>
        <v>9225000000</v>
      </c>
    </row>
    <row r="112" spans="1:31" ht="20" x14ac:dyDescent="0.25">
      <c r="X112" s="59" t="s">
        <v>138</v>
      </c>
      <c r="Y112" s="50">
        <f>AE99</f>
        <v>1934000000</v>
      </c>
    </row>
    <row r="113" spans="24:25" ht="20" x14ac:dyDescent="0.25">
      <c r="X113" s="59" t="s">
        <v>151</v>
      </c>
      <c r="Y113" s="50">
        <f>Y110+Y111-Y112</f>
        <v>104622143943.65976</v>
      </c>
    </row>
    <row r="114" spans="24:25" ht="20" x14ac:dyDescent="0.25">
      <c r="X114" s="59" t="s">
        <v>152</v>
      </c>
      <c r="Y114" s="59">
        <f>W34*(1+(AC16*5))</f>
        <v>60608393.517080538</v>
      </c>
    </row>
    <row r="115" spans="24:25" ht="20" x14ac:dyDescent="0.25">
      <c r="X115" s="60" t="s">
        <v>153</v>
      </c>
      <c r="Y115" s="61">
        <f>Y113/Y114</f>
        <v>1726.1989284400906</v>
      </c>
    </row>
    <row r="116" spans="24:25" ht="20" x14ac:dyDescent="0.25">
      <c r="X116" s="59" t="s">
        <v>154</v>
      </c>
      <c r="Y116" s="62" cm="1">
        <f t="array" ref="Y116">_FV(A1,"Price")</f>
        <v>1897</v>
      </c>
    </row>
    <row r="117" spans="24:25" ht="20" x14ac:dyDescent="0.25">
      <c r="X117" s="60" t="s">
        <v>155</v>
      </c>
      <c r="Y117" s="63">
        <f>Y115/Y116-1</f>
        <v>-9.0037465239804604E-2</v>
      </c>
    </row>
    <row r="118" spans="24:25" ht="20" x14ac:dyDescent="0.25">
      <c r="X118" s="60" t="s">
        <v>156</v>
      </c>
      <c r="Y118" s="64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ignoredErrors>
    <ignoredError xmlns:x16r3="http://schemas.microsoft.com/office/spreadsheetml/2018/08/main" sqref="Y116" x16r3:misleadingFormat="1"/>
  </ignoredErrors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2023-03-26T07:11:29Z</dcterms:created>
  <dcterms:modified xsi:type="dcterms:W3CDTF">2023-07-29T06:11:20Z</dcterms:modified>
</cp:coreProperties>
</file>