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6940EA59-D8D1-804A-8478-076297C04E13}" xr6:coauthVersionLast="47" xr6:coauthVersionMax="47" xr10:uidLastSave="{00000000-0000-0000-0000-000000000000}"/>
  <bookViews>
    <workbookView xWindow="0" yWindow="500" windowWidth="4096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16" i="1" l="1" a="1"/>
  <c r="AF116" i="1" s="1"/>
  <c r="AF111" i="1"/>
  <c r="AH108" i="1"/>
  <c r="AG108" i="1"/>
  <c r="AF108" i="1"/>
  <c r="AE108" i="1"/>
  <c r="AL101" i="1" a="1"/>
  <c r="AL101" i="1" s="1"/>
  <c r="AL95" i="1" a="1"/>
  <c r="AL95" i="1" s="1"/>
  <c r="AL97" i="1" s="1"/>
  <c r="AL94" i="1"/>
  <c r="AL91" i="1"/>
  <c r="Z105" i="1" s="1"/>
  <c r="AL90" i="1"/>
  <c r="AL89" i="1"/>
  <c r="AL87" i="1"/>
  <c r="AL86" i="1"/>
  <c r="AL88" i="1" s="1"/>
  <c r="AL92" i="1" s="1"/>
  <c r="AL85" i="1"/>
  <c r="AI30" i="1"/>
  <c r="AH30" i="1"/>
  <c r="AG30" i="1"/>
  <c r="AF30" i="1"/>
  <c r="AE30" i="1"/>
  <c r="AI29" i="1"/>
  <c r="AH29" i="1"/>
  <c r="AG29" i="1"/>
  <c r="AF29" i="1"/>
  <c r="AE29" i="1"/>
  <c r="AI21" i="1"/>
  <c r="AH21" i="1"/>
  <c r="AG21" i="1"/>
  <c r="AF21" i="1"/>
  <c r="AE21" i="1"/>
  <c r="AI20" i="1"/>
  <c r="AH20" i="1"/>
  <c r="AG20" i="1"/>
  <c r="AF20" i="1"/>
  <c r="AE20" i="1"/>
  <c r="AJ19" i="1"/>
  <c r="AJ16" i="1"/>
  <c r="AF114" i="1" s="1"/>
  <c r="AM13" i="1"/>
  <c r="AL13" i="1"/>
  <c r="AK13" i="1"/>
  <c r="AJ13" i="1"/>
  <c r="AM10" i="1"/>
  <c r="AL10" i="1"/>
  <c r="AK10" i="1"/>
  <c r="AM7" i="1"/>
  <c r="AL7" i="1"/>
  <c r="AK7" i="1"/>
  <c r="AJ7" i="1"/>
  <c r="AM4" i="1"/>
  <c r="AL4" i="1"/>
  <c r="AK4" i="1"/>
  <c r="AJ4" i="1"/>
  <c r="AI4" i="1"/>
  <c r="AH4" i="1"/>
  <c r="AG4" i="1"/>
  <c r="AF4" i="1"/>
  <c r="AE4" i="1"/>
  <c r="AD105" i="1"/>
  <c r="AC105" i="1"/>
  <c r="AB105" i="1"/>
  <c r="AA105" i="1"/>
  <c r="X105" i="1"/>
  <c r="W105" i="1"/>
  <c r="V105" i="1"/>
  <c r="U105" i="1"/>
  <c r="T105" i="1"/>
  <c r="S105" i="1"/>
  <c r="P105" i="1"/>
  <c r="O105" i="1"/>
  <c r="N105" i="1"/>
  <c r="M105" i="1"/>
  <c r="L105" i="1"/>
  <c r="K105" i="1"/>
  <c r="H105" i="1"/>
  <c r="G105" i="1"/>
  <c r="F105" i="1"/>
  <c r="E105" i="1"/>
  <c r="D105" i="1"/>
  <c r="C105"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D9" i="1"/>
  <c r="AJ10" i="1" s="1"/>
  <c r="AC9" i="1"/>
  <c r="AB9" i="1"/>
  <c r="AA9" i="1"/>
  <c r="Z9" i="1"/>
  <c r="Y9" i="1"/>
  <c r="X9" i="1"/>
  <c r="W9" i="1"/>
  <c r="V9" i="1"/>
  <c r="U9" i="1"/>
  <c r="T9" i="1"/>
  <c r="S9" i="1"/>
  <c r="R9" i="1"/>
  <c r="Q9" i="1"/>
  <c r="P9" i="1"/>
  <c r="O9" i="1"/>
  <c r="N9" i="1"/>
  <c r="M9" i="1"/>
  <c r="L9" i="1"/>
  <c r="K9" i="1"/>
  <c r="J9" i="1"/>
  <c r="I9" i="1"/>
  <c r="H9" i="1"/>
  <c r="G9" i="1"/>
  <c r="F9" i="1"/>
  <c r="E9" i="1"/>
  <c r="D9" i="1"/>
  <c r="C9" i="1"/>
  <c r="B9" i="1"/>
  <c r="AD4" i="1"/>
  <c r="AC4" i="1"/>
  <c r="AB4" i="1"/>
  <c r="AA4" i="1"/>
  <c r="Z4" i="1"/>
  <c r="Y4" i="1"/>
  <c r="X4" i="1"/>
  <c r="W4" i="1"/>
  <c r="V4" i="1"/>
  <c r="U4" i="1"/>
  <c r="T4" i="1"/>
  <c r="S4" i="1"/>
  <c r="R4" i="1"/>
  <c r="Q4" i="1"/>
  <c r="P4" i="1"/>
  <c r="O4" i="1"/>
  <c r="N4" i="1"/>
  <c r="M4" i="1"/>
  <c r="L4" i="1"/>
  <c r="K4" i="1"/>
  <c r="J4" i="1"/>
  <c r="I4" i="1"/>
  <c r="H4" i="1"/>
  <c r="G4" i="1"/>
  <c r="F4" i="1"/>
  <c r="E4" i="1"/>
  <c r="D4" i="1"/>
  <c r="C4" i="1"/>
  <c r="AL106" i="1" l="1"/>
  <c r="AE105" i="1" s="1"/>
  <c r="AF105" i="1" s="1"/>
  <c r="AG105" i="1" s="1"/>
  <c r="AH105" i="1" s="1"/>
  <c r="AI105" i="1" s="1"/>
  <c r="AM19" i="1"/>
  <c r="AL19" i="1"/>
  <c r="AK19" i="1"/>
  <c r="AM22" i="1"/>
  <c r="AM16" i="1"/>
  <c r="AL22" i="1"/>
  <c r="AL16" i="1"/>
  <c r="AK16" i="1"/>
  <c r="AL99" i="1"/>
  <c r="I105" i="1"/>
  <c r="Q105" i="1"/>
  <c r="Y105" i="1"/>
  <c r="B105" i="1"/>
  <c r="J105" i="1"/>
  <c r="R105" i="1"/>
  <c r="AL103" i="1" l="1"/>
  <c r="AL102" i="1" s="1"/>
  <c r="AF112" i="1"/>
  <c r="AL100" i="1" l="1"/>
  <c r="AL105" i="1" s="1"/>
  <c r="AL108" i="1" s="1"/>
  <c r="AI107" i="1" s="1"/>
  <c r="AI108" i="1" s="1"/>
  <c r="AF110" i="1" l="1"/>
  <c r="AF113" i="1" s="1"/>
  <c r="AF115" i="1" s="1"/>
  <c r="AF118" i="1" s="1"/>
  <c r="AF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<sst xmlns="http://schemas.openxmlformats.org/spreadsheetml/2006/main" count="929" uniqueCount="167">
  <si>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</si>
  <si>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</si>
  <si>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</si>
  <si>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</si>
  <si>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</si>
  <si>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</si>
  <si>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</si>
  <si>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</si>
  <si>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</si>
  <si>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</si>
  <si>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</si>
  <si>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</si>
  <si>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</si>
  <si>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</si>
  <si>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</si>
  <si>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</si>
  <si>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</si>
  <si>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</si>
  <si>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</si>
  <si>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</si>
  <si>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</si>
  <si>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</si>
  <si>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</si>
  <si>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</si>
  <si>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</si>
  <si>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</si>
  <si>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</si>
  <si>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</si>
  <si>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</si>
  <si>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</si>
  <si>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</si>
  <si>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</si>
  <si>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</si>
  <si>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</si>
  <si>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</si>
  <si>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</si>
  <si>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</si>
  <si>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</si>
  <si>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</si>
  <si>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</si>
  <si>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</si>
  <si>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</si>
  <si>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</si>
  <si>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</si>
  <si>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</si>
  <si>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</si>
  <si>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</si>
  <si>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</si>
  <si>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</si>
  <si>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</si>
  <si>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</si>
  <si>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</si>
  <si>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</si>
  <si>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</si>
  <si>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</si>
  <si>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</si>
  <si>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</si>
  <si>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</si>
  <si>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</si>
  <si>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</si>
  <si>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</si>
  <si>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</si>
  <si>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</si>
  <si>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</si>
  <si>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</si>
  <si>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</si>
  <si>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</si>
  <si>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</si>
  <si>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</si>
  <si>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</si>
  <si>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</si>
  <si>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</si>
  <si>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</si>
  <si>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</si>
  <si>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</si>
  <si>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</si>
  <si>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</si>
  <si>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</si>
  <si>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</si>
  <si>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</si>
  <si>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</si>
  <si>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</si>
  <si>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</si>
  <si>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</si>
  <si>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</si>
  <si>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</si>
  <si>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</si>
  <si>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</si>
  <si>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</si>
  <si>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</si>
  <si>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</si>
  <si>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</si>
  <si>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</si>
  <si>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</si>
  <si>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</si>
  <si>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</si>
  <si>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</si>
  <si>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</si>
  <si>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</si>
  <si>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</si>
  <si>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</si>
  <si>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</si>
  <si>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</si>
  <si>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</si>
  <si>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</si>
  <si>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</si>
  <si>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</si>
  <si>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</si>
  <si>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</si>
  <si>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</si>
  <si>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Unlevered FCF Proj</t>
  </si>
  <si>
    <t>WACC</t>
  </si>
  <si>
    <t>Levered FCF</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</si>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</sst>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0.0%"/>
    <numFmt numFmtId="169"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sz val="14"/>
      <color rgb="FF000000"/>
      <name val="Calibri"/>
      <family val="2"/>
    </font>
    <font>
      <i/>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164" fontId="10" fillId="0" borderId="0" xfId="0" applyNumberFormat="1" applyFont="1"/>
    <xf numFmtId="9" fontId="10" fillId="0" borderId="0" xfId="0" applyNumberFormat="1" applyFont="1"/>
    <xf numFmtId="9" fontId="11" fillId="0" borderId="0" xfId="0" applyNumberFormat="1" applyFont="1"/>
    <xf numFmtId="9" fontId="10" fillId="0" borderId="5" xfId="0" applyNumberFormat="1" applyFont="1" applyBorder="1" applyAlignment="1">
      <alignment horizontal="center"/>
    </xf>
    <xf numFmtId="9" fontId="1" fillId="0" borderId="0" xfId="0" applyNumberFormat="1" applyFont="1"/>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0" fillId="0" borderId="8" xfId="0" applyNumberFormat="1" applyFont="1" applyBorder="1" applyAlignment="1">
      <alignment horizontal="center"/>
    </xf>
    <xf numFmtId="2" fontId="10" fillId="0" borderId="8" xfId="0" applyNumberFormat="1" applyFont="1" applyBorder="1" applyAlignment="1">
      <alignment horizontal="center"/>
    </xf>
    <xf numFmtId="10" fontId="1" fillId="0" borderId="0" xfId="0" applyNumberFormat="1" applyFont="1"/>
    <xf numFmtId="0" fontId="10" fillId="4" borderId="0" xfId="0" applyFont="1" applyFill="1" applyAlignment="1">
      <alignment horizontal="left" vertical="center" wrapText="1"/>
    </xf>
    <xf numFmtId="164" fontId="10" fillId="4" borderId="0" xfId="0" applyNumberFormat="1" applyFont="1" applyFill="1"/>
    <xf numFmtId="164" fontId="11" fillId="5" borderId="0" xfId="0" applyNumberFormat="1" applyFont="1" applyFill="1"/>
    <xf numFmtId="0" fontId="0" fillId="6" borderId="0" xfId="0" applyFill="1"/>
    <xf numFmtId="9" fontId="13" fillId="6" borderId="0" xfId="0" applyNumberFormat="1" applyFont="1" applyFill="1" applyAlignment="1">
      <alignment wrapText="1"/>
    </xf>
    <xf numFmtId="10" fontId="1" fillId="6" borderId="0" xfId="0" applyNumberFormat="1" applyFont="1" applyFill="1" applyAlignment="1">
      <alignment horizontal="right" vertical="center"/>
    </xf>
    <xf numFmtId="164" fontId="11" fillId="6" borderId="0" xfId="0" applyNumberFormat="1" applyFont="1" applyFill="1"/>
    <xf numFmtId="0" fontId="12" fillId="7" borderId="0" xfId="0" applyFont="1" applyFill="1" applyAlignment="1">
      <alignment horizontal="left" vertical="center" wrapText="1"/>
    </xf>
    <xf numFmtId="10" fontId="12" fillId="7" borderId="0" xfId="0" applyNumberFormat="1" applyFont="1" applyFill="1"/>
    <xf numFmtId="0" fontId="1" fillId="0" borderId="0" xfId="0" applyFont="1" applyAlignment="1">
      <alignment indent="1"/>
    </xf>
    <xf numFmtId="0" fontId="14" fillId="0" borderId="4" xfId="0" applyFont="1" applyBorder="1"/>
    <xf numFmtId="164" fontId="11" fillId="0" borderId="0" xfId="0" applyNumberFormat="1" applyFont="1"/>
    <xf numFmtId="167" fontId="10" fillId="0" borderId="9" xfId="0" applyNumberFormat="1" applyFont="1" applyBorder="1" applyAlignment="1">
      <alignment horizontal="center"/>
    </xf>
    <xf numFmtId="167" fontId="10"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1" fillId="0" borderId="10" xfId="0" applyNumberFormat="1" applyFont="1" applyBorder="1"/>
    <xf numFmtId="168" fontId="10" fillId="0" borderId="5" xfId="0" applyNumberFormat="1" applyFont="1" applyBorder="1" applyAlignment="1">
      <alignment horizontal="center"/>
    </xf>
    <xf numFmtId="168" fontId="10" fillId="0" borderId="8" xfId="0" applyNumberFormat="1" applyFont="1" applyBorder="1" applyAlignment="1">
      <alignment horizontal="center"/>
    </xf>
    <xf numFmtId="164" fontId="14" fillId="0" borderId="3" xfId="0" applyNumberFormat="1" applyFont="1" applyBorder="1"/>
    <xf numFmtId="165" fontId="11" fillId="0" borderId="0" xfId="0" applyNumberFormat="1" applyFont="1"/>
    <xf numFmtId="166" fontId="11" fillId="0" borderId="0" xfId="0" applyNumberFormat="1" applyFont="1"/>
    <xf numFmtId="0" fontId="12" fillId="4" borderId="0" xfId="0" applyFont="1" applyFill="1" applyAlignment="1">
      <alignment horizontal="left" vertical="center" wrapText="1"/>
    </xf>
    <xf numFmtId="10" fontId="12" fillId="4" borderId="0" xfId="0" applyNumberFormat="1" applyFont="1" applyFill="1"/>
    <xf numFmtId="10" fontId="10" fillId="4" borderId="0" xfId="0" applyNumberFormat="1" applyFont="1" applyFill="1"/>
    <xf numFmtId="0" fontId="10" fillId="6" borderId="0" xfId="0" applyFont="1" applyFill="1" applyAlignment="1">
      <alignment horizontal="left" vertical="center" wrapText="1"/>
    </xf>
    <xf numFmtId="39" fontId="10" fillId="6" borderId="0" xfId="0" applyNumberFormat="1" applyFont="1" applyFill="1"/>
    <xf numFmtId="164" fontId="1" fillId="6" borderId="0" xfId="0" applyNumberFormat="1" applyFont="1" applyFill="1"/>
    <xf numFmtId="164" fontId="12" fillId="4" borderId="0" xfId="0" applyNumberFormat="1" applyFont="1" applyFill="1"/>
    <xf numFmtId="164" fontId="1" fillId="5" borderId="0" xfId="0" applyNumberFormat="1" applyFont="1" applyFill="1"/>
    <xf numFmtId="0" fontId="0" fillId="6" borderId="0" xfId="0" applyFill="1" applyAlignment="1">
      <alignment horizontal="left"/>
    </xf>
    <xf numFmtId="0" fontId="13" fillId="5" borderId="0" xfId="0" applyFont="1" applyFill="1" applyAlignment="1">
      <alignment wrapText="1"/>
    </xf>
    <xf numFmtId="10" fontId="1" fillId="5" borderId="0" xfId="0" applyNumberFormat="1" applyFont="1" applyFill="1" applyAlignment="1">
      <alignment horizontal="right" vertical="center"/>
    </xf>
    <xf numFmtId="0" fontId="13" fillId="6" borderId="0" xfId="0" applyFont="1" applyFill="1"/>
    <xf numFmtId="164" fontId="1" fillId="6" borderId="0" xfId="0" applyNumberFormat="1" applyFont="1" applyFill="1" applyAlignment="1">
      <alignment wrapText="1"/>
    </xf>
    <xf numFmtId="164" fontId="1" fillId="7" borderId="0" xfId="0" applyNumberFormat="1" applyFont="1" applyFill="1" applyAlignment="1">
      <alignment wrapText="1"/>
    </xf>
    <xf numFmtId="169" fontId="12" fillId="7" borderId="0" xfId="0" applyNumberFormat="1" applyFont="1" applyFill="1"/>
    <xf numFmtId="169" fontId="1" fillId="6" borderId="0" xfId="0" applyNumberFormat="1" applyFont="1" applyFill="1"/>
    <xf numFmtId="9" fontId="12" fillId="7" borderId="0" xfId="1" applyFont="1" applyFill="1" applyBorder="1"/>
    <xf numFmtId="0" fontId="12" fillId="7" borderId="0" xfId="0" applyFont="1" applyFill="1" applyAlignment="1">
      <alignment horizontal="right"/>
    </xf>
    <xf numFmtId="168" fontId="10" fillId="0" borderId="9" xfId="0" applyNumberFormat="1" applyFont="1" applyBorder="1" applyAlignment="1">
      <alignment horizontal="center"/>
    </xf>
    <xf numFmtId="0" fontId="15" fillId="7" borderId="0" xfId="0" applyFont="1" applyFill="1" applyAlignment="1">
      <alignment horizontal="center"/>
    </xf>
    <xf numFmtId="0" fontId="16" fillId="7" borderId="0" xfId="0" applyFont="1" applyFill="1" applyAlignment="1">
      <alignment horizontal="center"/>
    </xf>
    <xf numFmtId="0" fontId="12" fillId="8" borderId="0" xfId="0" applyFont="1" applyFill="1" applyAlignment="1">
      <alignment horizontal="center" vertical="center" wrapText="1"/>
    </xf>
    <xf numFmtId="0" fontId="1" fillId="7"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RCI Hospitality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980080304531472E-2"/>
          <c:y val="0.1362682498136247"/>
          <c:w val="0.82725170777493862"/>
          <c:h val="0.6484719403163754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1'!$B$1:$AD$1</c:f>
              <c:numCache>
                <c:formatCode>General</c:formatCode>
                <c:ptCount val="29"/>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2021</c:v>
                </c:pt>
                <c:pt idx="28">
                  <c:v>2022</c:v>
                </c:pt>
              </c:numCache>
            </c:numRef>
          </c:cat>
          <c:val>
            <c:numRef>
              <c:f>'Sheet 1'!$B$3:$AD$3</c:f>
              <c:numCache>
                <c:formatCode>#,###,,;\(#,###,,\);\ \-\ \-</c:formatCode>
                <c:ptCount val="29"/>
                <c:pt idx="0">
                  <c:v>4600000</c:v>
                </c:pt>
                <c:pt idx="1">
                  <c:v>4500000</c:v>
                </c:pt>
                <c:pt idx="2">
                  <c:v>4600000</c:v>
                </c:pt>
                <c:pt idx="3">
                  <c:v>6300000</c:v>
                </c:pt>
                <c:pt idx="4">
                  <c:v>7800000</c:v>
                </c:pt>
                <c:pt idx="5">
                  <c:v>10400000</c:v>
                </c:pt>
                <c:pt idx="6">
                  <c:v>12739316</c:v>
                </c:pt>
                <c:pt idx="7">
                  <c:v>19659641</c:v>
                </c:pt>
                <c:pt idx="8">
                  <c:v>15557302</c:v>
                </c:pt>
                <c:pt idx="9">
                  <c:v>15059569</c:v>
                </c:pt>
                <c:pt idx="10">
                  <c:v>15959684</c:v>
                </c:pt>
                <c:pt idx="11">
                  <c:v>14824407</c:v>
                </c:pt>
                <c:pt idx="12">
                  <c:v>24487215</c:v>
                </c:pt>
                <c:pt idx="13">
                  <c:v>32013940</c:v>
                </c:pt>
                <c:pt idx="14">
                  <c:v>59929478</c:v>
                </c:pt>
                <c:pt idx="15">
                  <c:v>75149596</c:v>
                </c:pt>
                <c:pt idx="16">
                  <c:v>82987000</c:v>
                </c:pt>
                <c:pt idx="17">
                  <c:v>83491000</c:v>
                </c:pt>
                <c:pt idx="18">
                  <c:v>95220000</c:v>
                </c:pt>
                <c:pt idx="19">
                  <c:v>112208000</c:v>
                </c:pt>
                <c:pt idx="20">
                  <c:v>129174000</c:v>
                </c:pt>
                <c:pt idx="21">
                  <c:v>144667000</c:v>
                </c:pt>
                <c:pt idx="22">
                  <c:v>134860000</c:v>
                </c:pt>
                <c:pt idx="23">
                  <c:v>144896000</c:v>
                </c:pt>
                <c:pt idx="24">
                  <c:v>165748000</c:v>
                </c:pt>
                <c:pt idx="25">
                  <c:v>181059000</c:v>
                </c:pt>
                <c:pt idx="26">
                  <c:v>132327000</c:v>
                </c:pt>
                <c:pt idx="27">
                  <c:v>195258000</c:v>
                </c:pt>
                <c:pt idx="28">
                  <c:v>267620000</c:v>
                </c:pt>
              </c:numCache>
            </c:numRef>
          </c:val>
          <c:extLst>
            <c:ext xmlns:c16="http://schemas.microsoft.com/office/drawing/2014/chart" uri="{C3380CC4-5D6E-409C-BE32-E72D297353CC}">
              <c16:uniqueId val="{00000000-5DC0-264C-B6FC-52C5530142CC}"/>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1'!$B$1:$AD$1</c:f>
              <c:numCache>
                <c:formatCode>General</c:formatCode>
                <c:ptCount val="29"/>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2021</c:v>
                </c:pt>
                <c:pt idx="28">
                  <c:v>2022</c:v>
                </c:pt>
              </c:numCache>
            </c:numRef>
          </c:cat>
          <c:val>
            <c:numRef>
              <c:f>'Sheet 1'!$B$28:$AD$28</c:f>
              <c:numCache>
                <c:formatCode>#,###,,;\(#,###,,\);\ \-\ \-</c:formatCode>
                <c:ptCount val="29"/>
                <c:pt idx="0">
                  <c:v>200000</c:v>
                </c:pt>
                <c:pt idx="1">
                  <c:v>400000</c:v>
                </c:pt>
                <c:pt idx="2">
                  <c:v>-700000</c:v>
                </c:pt>
                <c:pt idx="3">
                  <c:v>-1300000</c:v>
                </c:pt>
                <c:pt idx="4">
                  <c:v>-600000</c:v>
                </c:pt>
                <c:pt idx="5">
                  <c:v>0</c:v>
                </c:pt>
                <c:pt idx="6">
                  <c:v>202587</c:v>
                </c:pt>
                <c:pt idx="7">
                  <c:v>1314718</c:v>
                </c:pt>
                <c:pt idx="8">
                  <c:v>-2271180</c:v>
                </c:pt>
                <c:pt idx="9">
                  <c:v>438294</c:v>
                </c:pt>
                <c:pt idx="10">
                  <c:v>775253</c:v>
                </c:pt>
                <c:pt idx="11">
                  <c:v>-215148</c:v>
                </c:pt>
                <c:pt idx="12">
                  <c:v>1752714</c:v>
                </c:pt>
                <c:pt idx="13">
                  <c:v>3054899</c:v>
                </c:pt>
                <c:pt idx="14">
                  <c:v>7660667</c:v>
                </c:pt>
                <c:pt idx="15">
                  <c:v>5208097</c:v>
                </c:pt>
                <c:pt idx="16">
                  <c:v>-7958000</c:v>
                </c:pt>
                <c:pt idx="17">
                  <c:v>7846000</c:v>
                </c:pt>
                <c:pt idx="18">
                  <c:v>7578000</c:v>
                </c:pt>
                <c:pt idx="19">
                  <c:v>9191000</c:v>
                </c:pt>
                <c:pt idx="20">
                  <c:v>11240000</c:v>
                </c:pt>
                <c:pt idx="21">
                  <c:v>9312000</c:v>
                </c:pt>
                <c:pt idx="22">
                  <c:v>11089000</c:v>
                </c:pt>
                <c:pt idx="23">
                  <c:v>8259000</c:v>
                </c:pt>
                <c:pt idx="24">
                  <c:v>21713000</c:v>
                </c:pt>
                <c:pt idx="25">
                  <c:v>19175000</c:v>
                </c:pt>
                <c:pt idx="26">
                  <c:v>-6085000</c:v>
                </c:pt>
                <c:pt idx="27">
                  <c:v>30336000</c:v>
                </c:pt>
                <c:pt idx="28">
                  <c:v>46041000</c:v>
                </c:pt>
              </c:numCache>
            </c:numRef>
          </c:val>
          <c:extLst>
            <c:ext xmlns:c16="http://schemas.microsoft.com/office/drawing/2014/chart" uri="{C3380CC4-5D6E-409C-BE32-E72D297353CC}">
              <c16:uniqueId val="{00000001-5DC0-264C-B6FC-52C5530142CC}"/>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1'!$B$1:$AD$1</c:f>
              <c:numCache>
                <c:formatCode>General</c:formatCode>
                <c:ptCount val="29"/>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2021</c:v>
                </c:pt>
                <c:pt idx="28">
                  <c:v>2022</c:v>
                </c:pt>
              </c:numCache>
            </c:numRef>
          </c:cat>
          <c:val>
            <c:numRef>
              <c:f>'Sheet 1'!$B$107:$AD$107</c:f>
              <c:numCache>
                <c:formatCode>#,###,,;\(#,###,,\);\ \-\ \-</c:formatCode>
                <c:ptCount val="29"/>
                <c:pt idx="0">
                  <c:v>100000</c:v>
                </c:pt>
                <c:pt idx="1">
                  <c:v>400000</c:v>
                </c:pt>
                <c:pt idx="2">
                  <c:v>-2800000</c:v>
                </c:pt>
                <c:pt idx="3">
                  <c:v>-4800000</c:v>
                </c:pt>
                <c:pt idx="4">
                  <c:v>-700000</c:v>
                </c:pt>
                <c:pt idx="5">
                  <c:v>-1500000</c:v>
                </c:pt>
                <c:pt idx="6">
                  <c:v>221816</c:v>
                </c:pt>
                <c:pt idx="7">
                  <c:v>433150</c:v>
                </c:pt>
                <c:pt idx="8">
                  <c:v>352073</c:v>
                </c:pt>
                <c:pt idx="9">
                  <c:v>424106</c:v>
                </c:pt>
                <c:pt idx="10">
                  <c:v>73977</c:v>
                </c:pt>
                <c:pt idx="11">
                  <c:v>-2530970</c:v>
                </c:pt>
                <c:pt idx="12">
                  <c:v>1084035</c:v>
                </c:pt>
                <c:pt idx="13">
                  <c:v>3172985</c:v>
                </c:pt>
                <c:pt idx="14">
                  <c:v>11679876</c:v>
                </c:pt>
                <c:pt idx="15">
                  <c:v>6811676</c:v>
                </c:pt>
                <c:pt idx="16">
                  <c:v>11421000</c:v>
                </c:pt>
                <c:pt idx="17">
                  <c:v>7348000</c:v>
                </c:pt>
                <c:pt idx="18">
                  <c:v>11527000</c:v>
                </c:pt>
                <c:pt idx="19">
                  <c:v>8706000</c:v>
                </c:pt>
                <c:pt idx="20">
                  <c:v>-924000</c:v>
                </c:pt>
                <c:pt idx="21">
                  <c:v>-2895000</c:v>
                </c:pt>
                <c:pt idx="22">
                  <c:v>-5117000</c:v>
                </c:pt>
                <c:pt idx="23">
                  <c:v>9845000</c:v>
                </c:pt>
                <c:pt idx="24">
                  <c:v>506000</c:v>
                </c:pt>
                <c:pt idx="25">
                  <c:v>16466000</c:v>
                </c:pt>
                <c:pt idx="26">
                  <c:v>9896000</c:v>
                </c:pt>
                <c:pt idx="27">
                  <c:v>28480000</c:v>
                </c:pt>
                <c:pt idx="28">
                  <c:v>40506000</c:v>
                </c:pt>
              </c:numCache>
            </c:numRef>
          </c:val>
          <c:extLst>
            <c:ext xmlns:c16="http://schemas.microsoft.com/office/drawing/2014/chart" uri="{C3380CC4-5D6E-409C-BE32-E72D297353CC}">
              <c16:uniqueId val="{00000002-5DC0-264C-B6FC-52C5530142CC}"/>
            </c:ext>
          </c:extLst>
        </c:ser>
        <c:dLbls>
          <c:showLegendKey val="0"/>
          <c:showVal val="0"/>
          <c:showCatName val="0"/>
          <c:showSerName val="0"/>
          <c:showPercent val="0"/>
          <c:showBubbleSize val="0"/>
        </c:dLbls>
        <c:gapWidth val="100"/>
        <c:overlap val="-24"/>
        <c:axId val="844534976"/>
        <c:axId val="844536704"/>
      </c:barChart>
      <c:catAx>
        <c:axId val="8445349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844536704"/>
        <c:crosses val="autoZero"/>
        <c:auto val="1"/>
        <c:lblAlgn val="ctr"/>
        <c:lblOffset val="100"/>
        <c:noMultiLvlLbl val="0"/>
      </c:catAx>
      <c:valAx>
        <c:axId val="84453670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44534976"/>
        <c:crosses val="autoZero"/>
        <c:crossBetween val="between"/>
      </c:valAx>
      <c:spPr>
        <a:noFill/>
        <a:ln>
          <a:noFill/>
        </a:ln>
        <a:effectLst/>
      </c:spPr>
    </c:plotArea>
    <c:legend>
      <c:legendPos val="b"/>
      <c:layout>
        <c:manualLayout>
          <c:xMode val="edge"/>
          <c:yMode val="edge"/>
          <c:x val="0.34947259738228081"/>
          <c:y val="0.9073987451637654"/>
          <c:w val="0.31429983834802105"/>
          <c:h val="5.666483465655251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32</xdr:col>
      <xdr:colOff>15875</xdr:colOff>
      <xdr:row>108</xdr:row>
      <xdr:rowOff>9524</xdr:rowOff>
    </xdr:from>
    <xdr:to>
      <xdr:col>37</xdr:col>
      <xdr:colOff>1587500</xdr:colOff>
      <xdr:row>128</xdr:row>
      <xdr:rowOff>15874</xdr:rowOff>
    </xdr:to>
    <xdr:graphicFrame macro="">
      <xdr:nvGraphicFramePr>
        <xdr:cNvPr id="2" name="Chart 1">
          <a:extLst>
            <a:ext uri="{FF2B5EF4-FFF2-40B4-BE49-F238E27FC236}">
              <a16:creationId xmlns:a16="http://schemas.microsoft.com/office/drawing/2014/main" id="{5DC88E38-EE18-941D-B7C8-D96362E38A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https://www.bing.com/financeapi/forcetrigger?t=a21zz2&amp;q=XNAS%3aRICK&amp;form=skydnc</v>
    <v>Learn more on Bing</v>
  </rv>
  <rv s="1">
    <v>0</v>
    <v>RCI HOSPITALITY HOLDINGS, INC. (XNAS:RICK)</v>
    <v>2</v>
    <v>3</v>
    <v>Finance</v>
    <v>4</v>
    <v>en-US</v>
    <v>a21zz2</v>
    <v>268435456</v>
    <v>1</v>
    <v>Powered by Refinitiv</v>
    <v>97.45</v>
    <v>48.47</v>
    <v>1.6494</v>
    <v>-6.7420999999999998</v>
    <v>-8.7140999999999996E-2</v>
    <v>USD</v>
    <v>RCI Hospitality Holdings, Inc. through its subsidiaries, is engaged in various activities in the hospitality and other businesses. Its segments include Nightclubs, Bombshells and Other. The Nightclubs segment operates adult entertainment nightclubs through several brands, such as Rick's Cabaret, Jaguars Club, Tootsie's Cabaret, XTC Cabaret, Club Onyx, Hoops Cabaret and Sports Bar, Scarlett's Cabaret, Temptations Adult Cabaret, Foxy's Cabaret, Vivid Cabaret, Cabaret East, and Silver City Cabaret, among others. This segment also operates one dance club under the brand name Studio 80. The Bombshells segment owns and operates restaurants and sports bars in Houston, Dallas, Austin, Spring, Pearland, Tomball and Katy, Texas, under the brand name Bombshells Restaurant &amp; Bar. Other segment owns a media division (Media Group), including the trade magazine serving the adult nightclubs industry and the adult retail products industry. It also owns a 2.6 acre property at 4920-5000 Mark IV Parkwa.</v>
    <v>3219</v>
    <v>Nasdaq Stock Market</v>
    <v>XNAS</v>
    <v>XNAS</v>
    <v>10959 CUTTEN ROAD, HOUSTON, TX, 77066 US</v>
    <v>76</v>
    <v>Hotels &amp; Entertainment Services</v>
    <v>Stock</v>
    <v>45118.760359628905</v>
    <v>0</v>
    <v>69.7</v>
    <v>729616500</v>
    <v>RCI HOSPITALITY HOLDINGS, INC.</v>
    <v>RCI HOSPITALITY HOLDINGS, INC.</v>
    <v>76</v>
    <v>16.9239</v>
    <v>77.37</v>
    <v>70.627899999999997</v>
    <v>9430230</v>
    <v>RICK</v>
    <v>RCI HOSPITALITY HOLDINGS, INC. (XNAS:RICK)</v>
    <v>136256</v>
    <v>35478</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9" Type="http://schemas.openxmlformats.org/officeDocument/2006/relationships/hyperlink" Target="https://www.sec.gov/Archives/edgar/data/935419/000114420412068015/0001144204-12-068015-index.htm"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935419/000114036110049553/0001140361-10-049553-index.htm" TargetMode="External"/><Relationship Id="rId42" Type="http://schemas.openxmlformats.org/officeDocument/2006/relationships/hyperlink" Target="https://www.sec.gov/Archives/edgar/data/935419/000114420414073951/0001144204-14-073951-index.htm" TargetMode="External"/><Relationship Id="rId47" Type="http://schemas.openxmlformats.org/officeDocument/2006/relationships/hyperlink" Target="https://www.sec.gov/Archives/edgar/data/935419/000149315216015847/0001493152-16-015847-index.htm" TargetMode="External"/><Relationship Id="rId50" Type="http://schemas.openxmlformats.org/officeDocument/2006/relationships/hyperlink" Target="https://www.sec.gov/Archives/edgar/data/935419/000149315218018121/0001493152-18-018121-index.htm" TargetMode="External"/><Relationship Id="rId55" Type="http://schemas.openxmlformats.org/officeDocument/2006/relationships/hyperlink" Target="https://www.sec.gov/Archives/edgar/data/935419/000149315220023525/0001493152-20-023525-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935419/000101540201503823/0001015402-01-503823-index.htm" TargetMode="External"/><Relationship Id="rId29" Type="http://schemas.openxmlformats.org/officeDocument/2006/relationships/hyperlink" Target="https://www.sec.gov/Archives/edgar/data/935419/000114036107024905/0001140361-07-024905-index.htm"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935419/000114036109029530/0001140361-09-029530-index.htm" TargetMode="External"/><Relationship Id="rId37" Type="http://schemas.openxmlformats.org/officeDocument/2006/relationships/hyperlink" Target="https://www.sec.gov/Archives/edgar/data/935419/000114420411069777/0001144204-11-069777-index.htm" TargetMode="External"/><Relationship Id="rId40" Type="http://schemas.openxmlformats.org/officeDocument/2006/relationships/hyperlink" Target="https://www.sec.gov/Archives/edgar/data/935419/000114420413067468/0001144204-13-067468-index.htm" TargetMode="External"/><Relationship Id="rId45" Type="http://schemas.openxmlformats.org/officeDocument/2006/relationships/hyperlink" Target="https://www.sec.gov/Archives/edgar/data/935419/000114420415070732/0001144204-15-070732-index.htm" TargetMode="External"/><Relationship Id="rId53" Type="http://schemas.openxmlformats.org/officeDocument/2006/relationships/hyperlink" Target="https://www.sec.gov/Archives/edgar/data/935419/000149315220002216/0001493152-20-002216-index.htm" TargetMode="External"/><Relationship Id="rId58" Type="http://schemas.openxmlformats.org/officeDocument/2006/relationships/hyperlink" Target="https://www.sec.gov/Archives/edgar/data/935419/000162828022031907/0001628280-22-031907-index.htm" TargetMode="External"/><Relationship Id="rId5" Type="http://schemas.openxmlformats.org/officeDocument/2006/relationships/hyperlink" Target="https://sec.gov/" TargetMode="External"/><Relationship Id="rId61" Type="http://schemas.openxmlformats.org/officeDocument/2006/relationships/hyperlink" Target="https://finbox.com/NASDAQGM:RICK/explorer/fcf_unlev_proj" TargetMode="External"/><Relationship Id="rId19" Type="http://schemas.openxmlformats.org/officeDocument/2006/relationships/hyperlink" Target="https://sec.gov/" TargetMode="External"/><Relationship Id="rId14" Type="http://schemas.openxmlformats.org/officeDocument/2006/relationships/hyperlink" Target="https://www.sec.gov/Archives/edgar/data/935419/000101540200003663/0001015402-00-003663-index.htm"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935419/000114036108028818/0001140361-08-028818-index.htm" TargetMode="External"/><Relationship Id="rId35" Type="http://schemas.openxmlformats.org/officeDocument/2006/relationships/hyperlink" Target="https://www.sec.gov/Archives/edgar/data/935419/000114036110049553/0001140361-10-049553-index.htm" TargetMode="External"/><Relationship Id="rId43" Type="http://schemas.openxmlformats.org/officeDocument/2006/relationships/hyperlink" Target="https://www.sec.gov/Archives/edgar/data/935419/000114420414073951/0001144204-14-073951-index.htm" TargetMode="External"/><Relationship Id="rId48" Type="http://schemas.openxmlformats.org/officeDocument/2006/relationships/hyperlink" Target="https://www.sec.gov/Archives/edgar/data/935419/000149315218002134/0001493152-18-002134-index.htm" TargetMode="External"/><Relationship Id="rId56" Type="http://schemas.openxmlformats.org/officeDocument/2006/relationships/hyperlink" Target="https://www.sec.gov/Archives/edgar/data/935419/000149315221031404/0001493152-21-031404-index.htm" TargetMode="External"/><Relationship Id="rId8" Type="http://schemas.openxmlformats.org/officeDocument/2006/relationships/hyperlink" Target="https://www.sec.gov/Archives/edgar/data/935419/0001019056-98-000002-index.html" TargetMode="External"/><Relationship Id="rId51" Type="http://schemas.openxmlformats.org/officeDocument/2006/relationships/hyperlink" Target="https://www.sec.gov/Archives/edgar/data/935419/000149315218018121/0001493152-18-01812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935419/000101540201503823/0001015402-01-503823-index.htm"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935419/000114036109029530/0001140361-09-029530-index.htm" TargetMode="External"/><Relationship Id="rId38" Type="http://schemas.openxmlformats.org/officeDocument/2006/relationships/hyperlink" Target="https://www.sec.gov/Archives/edgar/data/935419/000114420412068015/0001144204-12-068015-index.htm" TargetMode="External"/><Relationship Id="rId46" Type="http://schemas.openxmlformats.org/officeDocument/2006/relationships/hyperlink" Target="https://www.sec.gov/Archives/edgar/data/935419/000149315216015847/0001493152-16-015847-index.htm" TargetMode="External"/><Relationship Id="rId59" Type="http://schemas.openxmlformats.org/officeDocument/2006/relationships/hyperlink" Target="https://www.sec.gov/Archives/edgar/data/935419/000162828022031907/0001628280-22-031907-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935419/000114420413067468/0001144204-13-067468-index.htm" TargetMode="External"/><Relationship Id="rId54" Type="http://schemas.openxmlformats.org/officeDocument/2006/relationships/hyperlink" Target="https://www.sec.gov/Archives/edgar/data/935419/000149315220023525/0001493152-20-023525-index.htm" TargetMode="External"/><Relationship Id="rId62" Type="http://schemas.openxmlformats.org/officeDocument/2006/relationships/drawing" Target="../drawings/drawing1.xml"/><Relationship Id="rId1" Type="http://schemas.openxmlformats.org/officeDocument/2006/relationships/hyperlink" Target="https://roic.ai/company/RICK" TargetMode="External"/><Relationship Id="rId6" Type="http://schemas.openxmlformats.org/officeDocument/2006/relationships/hyperlink" Target="https://sec.gov/" TargetMode="External"/><Relationship Id="rId15" Type="http://schemas.openxmlformats.org/officeDocument/2006/relationships/hyperlink" Target="https://www.sec.gov/Archives/edgar/data/935419/000101540200003663/0001015402-00-003663-index.htm"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935419/000114036107024905/0001140361-07-024905-index.htm" TargetMode="External"/><Relationship Id="rId36" Type="http://schemas.openxmlformats.org/officeDocument/2006/relationships/hyperlink" Target="https://www.sec.gov/Archives/edgar/data/935419/000114420411069777/0001144204-11-069777-index.htm" TargetMode="External"/><Relationship Id="rId49" Type="http://schemas.openxmlformats.org/officeDocument/2006/relationships/hyperlink" Target="https://www.sec.gov/Archives/edgar/data/935419/000149315218002134/0001493152-18-002134-index.htm" TargetMode="External"/><Relationship Id="rId57" Type="http://schemas.openxmlformats.org/officeDocument/2006/relationships/hyperlink" Target="https://www.sec.gov/Archives/edgar/data/935419/000149315221031404/0001493152-21-031404-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35419/000114036108028818/0001140361-08-028818-index.htm" TargetMode="External"/><Relationship Id="rId44" Type="http://schemas.openxmlformats.org/officeDocument/2006/relationships/hyperlink" Target="https://www.sec.gov/Archives/edgar/data/935419/000114420415070732/0001144204-15-070732-index.htm" TargetMode="External"/><Relationship Id="rId52" Type="http://schemas.openxmlformats.org/officeDocument/2006/relationships/hyperlink" Target="https://www.sec.gov/Archives/edgar/data/935419/000149315220002216/0001493152-20-002216-index.htm" TargetMode="External"/><Relationship Id="rId60" Type="http://schemas.openxmlformats.org/officeDocument/2006/relationships/hyperlink" Target="https://finbox.com/NASDAQGM:RICK/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935419/0001019056-98-000002-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8"/>
  <sheetViews>
    <sheetView tabSelected="1" zoomScale="80" zoomScaleNormal="80" workbookViewId="0">
      <pane xSplit="1" ySplit="1" topLeftCell="Z97" activePane="bottomRight" state="frozen"/>
      <selection pane="topRight"/>
      <selection pane="bottomLeft"/>
      <selection pane="bottomRight" activeCell="AE121" sqref="AE121"/>
    </sheetView>
  </sheetViews>
  <sheetFormatPr baseColWidth="10" defaultRowHeight="16" x14ac:dyDescent="0.2"/>
  <cols>
    <col min="1" max="1" width="50" customWidth="1"/>
    <col min="2" max="30" width="15" customWidth="1"/>
    <col min="31" max="39" width="21" customWidth="1"/>
  </cols>
  <sheetData>
    <row r="1" spans="1:39" ht="22" thickBot="1" x14ac:dyDescent="0.3">
      <c r="A1" s="3" t="e" vm="1">
        <v>#VALUE!</v>
      </c>
      <c r="B1" s="8">
        <v>1994</v>
      </c>
      <c r="C1" s="8">
        <v>1995</v>
      </c>
      <c r="D1" s="8">
        <v>1996</v>
      </c>
      <c r="E1" s="8">
        <v>1997</v>
      </c>
      <c r="F1" s="8">
        <v>1998</v>
      </c>
      <c r="G1" s="8">
        <v>1999</v>
      </c>
      <c r="H1" s="8">
        <v>2000</v>
      </c>
      <c r="I1" s="8">
        <v>2001</v>
      </c>
      <c r="J1" s="8">
        <v>2002</v>
      </c>
      <c r="K1" s="8">
        <v>2003</v>
      </c>
      <c r="L1" s="8">
        <v>2004</v>
      </c>
      <c r="M1" s="8">
        <v>2005</v>
      </c>
      <c r="N1" s="8">
        <v>2006</v>
      </c>
      <c r="O1" s="8">
        <v>2007</v>
      </c>
      <c r="P1" s="8">
        <v>2008</v>
      </c>
      <c r="Q1" s="8">
        <v>2009</v>
      </c>
      <c r="R1" s="8">
        <v>2010</v>
      </c>
      <c r="S1" s="8">
        <v>2011</v>
      </c>
      <c r="T1" s="8">
        <v>2012</v>
      </c>
      <c r="U1" s="8">
        <v>2013</v>
      </c>
      <c r="V1" s="8">
        <v>2014</v>
      </c>
      <c r="W1" s="8">
        <v>2015</v>
      </c>
      <c r="X1" s="8">
        <v>2016</v>
      </c>
      <c r="Y1" s="8">
        <v>2017</v>
      </c>
      <c r="Z1" s="8">
        <v>2018</v>
      </c>
      <c r="AA1" s="8">
        <v>2019</v>
      </c>
      <c r="AB1" s="8">
        <v>2020</v>
      </c>
      <c r="AC1" s="8">
        <v>2021</v>
      </c>
      <c r="AD1" s="8">
        <v>2022</v>
      </c>
      <c r="AE1" s="35">
        <v>2023</v>
      </c>
      <c r="AF1" s="35">
        <v>2024</v>
      </c>
      <c r="AG1" s="35">
        <v>2025</v>
      </c>
      <c r="AH1" s="35">
        <v>2026</v>
      </c>
      <c r="AI1" s="35">
        <v>2027</v>
      </c>
    </row>
    <row r="2" spans="1:39"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c r="AI2" s="9"/>
    </row>
    <row r="3" spans="1:39" ht="40" x14ac:dyDescent="0.25">
      <c r="A3" s="5" t="s">
        <v>1</v>
      </c>
      <c r="B3" s="1">
        <v>4600000</v>
      </c>
      <c r="C3" s="1">
        <v>4500000</v>
      </c>
      <c r="D3" s="1">
        <v>4600000</v>
      </c>
      <c r="E3" s="1">
        <v>6300000</v>
      </c>
      <c r="F3" s="1">
        <v>7800000</v>
      </c>
      <c r="G3" s="1">
        <v>10400000</v>
      </c>
      <c r="H3" s="1">
        <v>12739316</v>
      </c>
      <c r="I3" s="1">
        <v>19659641</v>
      </c>
      <c r="J3" s="1">
        <v>15557302</v>
      </c>
      <c r="K3" s="1">
        <v>15059569</v>
      </c>
      <c r="L3" s="1">
        <v>15959684</v>
      </c>
      <c r="M3" s="1">
        <v>14824407</v>
      </c>
      <c r="N3" s="1">
        <v>24487215</v>
      </c>
      <c r="O3" s="1">
        <v>32013940</v>
      </c>
      <c r="P3" s="1">
        <v>59929478</v>
      </c>
      <c r="Q3" s="1">
        <v>75149596</v>
      </c>
      <c r="R3" s="1">
        <v>82987000</v>
      </c>
      <c r="S3" s="1">
        <v>83491000</v>
      </c>
      <c r="T3" s="1">
        <v>95220000</v>
      </c>
      <c r="U3" s="1">
        <v>112208000</v>
      </c>
      <c r="V3" s="1">
        <v>129174000</v>
      </c>
      <c r="W3" s="1">
        <v>144667000</v>
      </c>
      <c r="X3" s="1">
        <v>134860000</v>
      </c>
      <c r="Y3" s="1">
        <v>144896000</v>
      </c>
      <c r="Z3" s="1">
        <v>165748000</v>
      </c>
      <c r="AA3" s="1">
        <v>181059000</v>
      </c>
      <c r="AB3" s="1">
        <v>132327000</v>
      </c>
      <c r="AC3" s="1">
        <v>195258000</v>
      </c>
      <c r="AD3" s="1">
        <v>267620000</v>
      </c>
      <c r="AE3" s="36">
        <v>302500000</v>
      </c>
      <c r="AF3" s="36">
        <v>350000000</v>
      </c>
      <c r="AG3" s="36">
        <v>271100000</v>
      </c>
      <c r="AH3" s="36">
        <v>290000000</v>
      </c>
      <c r="AI3" s="36">
        <v>307000000</v>
      </c>
      <c r="AJ3" s="20" t="s">
        <v>113</v>
      </c>
      <c r="AK3" s="21" t="s">
        <v>114</v>
      </c>
      <c r="AL3" s="21" t="s">
        <v>115</v>
      </c>
      <c r="AM3" s="21" t="s">
        <v>116</v>
      </c>
    </row>
    <row r="4" spans="1:39" ht="19" x14ac:dyDescent="0.25">
      <c r="A4" s="14" t="s">
        <v>93</v>
      </c>
      <c r="B4" s="15"/>
      <c r="C4" s="16">
        <f>(C3/B3)-1</f>
        <v>-2.1739130434782594E-2</v>
      </c>
      <c r="D4" s="16">
        <f>(D3/C3)-1</f>
        <v>2.2222222222222143E-2</v>
      </c>
      <c r="E4" s="16">
        <f>(E3/D3)-1</f>
        <v>0.36956521739130443</v>
      </c>
      <c r="F4" s="16">
        <f t="shared" ref="F4:AI4" si="0">(F3/E3)-1</f>
        <v>0.23809523809523814</v>
      </c>
      <c r="G4" s="16">
        <f t="shared" si="0"/>
        <v>0.33333333333333326</v>
      </c>
      <c r="H4" s="16">
        <f t="shared" si="0"/>
        <v>0.2249342307692308</v>
      </c>
      <c r="I4" s="16">
        <f t="shared" si="0"/>
        <v>0.54322579014446304</v>
      </c>
      <c r="J4" s="16">
        <f t="shared" si="0"/>
        <v>-0.20866805248376608</v>
      </c>
      <c r="K4" s="16">
        <f t="shared" si="0"/>
        <v>-3.1993529469312887E-2</v>
      </c>
      <c r="L4" s="16">
        <f t="shared" si="0"/>
        <v>5.9770302855280955E-2</v>
      </c>
      <c r="M4" s="16">
        <f t="shared" si="0"/>
        <v>-7.1134052528859626E-2</v>
      </c>
      <c r="N4" s="16">
        <f t="shared" si="0"/>
        <v>0.65181750608978839</v>
      </c>
      <c r="O4" s="16">
        <f t="shared" si="0"/>
        <v>0.3073736641753666</v>
      </c>
      <c r="P4" s="16">
        <f t="shared" si="0"/>
        <v>0.87198070590499022</v>
      </c>
      <c r="Q4" s="16">
        <f t="shared" si="0"/>
        <v>0.25396713784158109</v>
      </c>
      <c r="R4" s="16">
        <f t="shared" si="0"/>
        <v>0.10429070037848232</v>
      </c>
      <c r="S4" s="16">
        <f t="shared" si="0"/>
        <v>6.0732403870484841E-3</v>
      </c>
      <c r="T4" s="16">
        <f t="shared" si="0"/>
        <v>0.14048220766310138</v>
      </c>
      <c r="U4" s="16">
        <f t="shared" si="0"/>
        <v>0.17840789750052499</v>
      </c>
      <c r="V4" s="16">
        <f t="shared" si="0"/>
        <v>0.15120134036788824</v>
      </c>
      <c r="W4" s="16">
        <f t="shared" si="0"/>
        <v>0.11993899701178257</v>
      </c>
      <c r="X4" s="16">
        <f t="shared" si="0"/>
        <v>-6.779016638210511E-2</v>
      </c>
      <c r="Y4" s="16">
        <f t="shared" si="0"/>
        <v>7.4417914874684854E-2</v>
      </c>
      <c r="Z4" s="16">
        <f t="shared" si="0"/>
        <v>0.14391011484098937</v>
      </c>
      <c r="AA4" s="16">
        <f t="shared" si="0"/>
        <v>9.2375171947776114E-2</v>
      </c>
      <c r="AB4" s="16">
        <f t="shared" si="0"/>
        <v>-0.26914983513661295</v>
      </c>
      <c r="AC4" s="16">
        <f t="shared" si="0"/>
        <v>0.47557187875490259</v>
      </c>
      <c r="AD4" s="16">
        <f t="shared" si="0"/>
        <v>0.37059685134539944</v>
      </c>
      <c r="AE4" s="17">
        <f t="shared" si="0"/>
        <v>0.13033405575069135</v>
      </c>
      <c r="AF4" s="17">
        <f t="shared" si="0"/>
        <v>0.15702479338842967</v>
      </c>
      <c r="AG4" s="17">
        <f t="shared" si="0"/>
        <v>-0.22542857142857142</v>
      </c>
      <c r="AH4" s="17">
        <f t="shared" si="0"/>
        <v>6.9715971966064272E-2</v>
      </c>
      <c r="AI4" s="17">
        <f t="shared" si="0"/>
        <v>5.862068965517242E-2</v>
      </c>
      <c r="AJ4" s="18">
        <f>(AD4+AC4+AB4)/3</f>
        <v>0.19233963165456303</v>
      </c>
      <c r="AK4" s="18">
        <f>(AD20+AC20+AB20)/3</f>
        <v>1.0800324486152328</v>
      </c>
      <c r="AL4" s="18">
        <f>(AD29+AC29+AB29)/3</f>
        <v>-2.2616708054993464</v>
      </c>
      <c r="AM4" s="18">
        <f>(AD106+AC106+AB106)/3</f>
        <v>0.6337292348853335</v>
      </c>
    </row>
    <row r="5" spans="1:39" ht="19" x14ac:dyDescent="0.25">
      <c r="A5" s="5" t="s">
        <v>2</v>
      </c>
      <c r="B5" s="1">
        <v>600000</v>
      </c>
      <c r="C5" s="1">
        <v>600000</v>
      </c>
      <c r="D5" s="1">
        <v>700000</v>
      </c>
      <c r="E5" s="1">
        <v>900000</v>
      </c>
      <c r="F5" s="1">
        <v>700000</v>
      </c>
      <c r="G5" s="1">
        <v>800000</v>
      </c>
      <c r="H5" s="1">
        <v>1858632</v>
      </c>
      <c r="I5" s="1">
        <v>6586886</v>
      </c>
      <c r="J5" s="1">
        <v>2970139</v>
      </c>
      <c r="K5" s="1">
        <v>2194940</v>
      </c>
      <c r="L5" s="1">
        <v>1983207</v>
      </c>
      <c r="M5" s="1">
        <v>1865630</v>
      </c>
      <c r="N5" s="1">
        <v>2915312</v>
      </c>
      <c r="O5" s="1">
        <v>4035522</v>
      </c>
      <c r="P5" s="1">
        <v>6959889</v>
      </c>
      <c r="Q5" s="1">
        <v>8773312</v>
      </c>
      <c r="R5" s="1">
        <v>9927000</v>
      </c>
      <c r="S5" s="1">
        <v>10427000</v>
      </c>
      <c r="T5" s="1">
        <v>12644000</v>
      </c>
      <c r="U5" s="1">
        <v>39297000</v>
      </c>
      <c r="V5" s="1">
        <v>44609000</v>
      </c>
      <c r="W5" s="1">
        <v>52876000</v>
      </c>
      <c r="X5" s="1">
        <v>58003000</v>
      </c>
      <c r="Y5" s="1">
        <v>60750000</v>
      </c>
      <c r="Z5" s="1">
        <v>67456000</v>
      </c>
      <c r="AA5" s="1">
        <v>74770000</v>
      </c>
      <c r="AB5" s="1">
        <v>58505000</v>
      </c>
      <c r="AC5" s="1">
        <v>80678000</v>
      </c>
      <c r="AD5" s="1">
        <v>104456000</v>
      </c>
    </row>
    <row r="6" spans="1:39" ht="20" x14ac:dyDescent="0.25">
      <c r="A6" s="6" t="s">
        <v>3</v>
      </c>
      <c r="B6" s="10">
        <v>4000000</v>
      </c>
      <c r="C6" s="10">
        <v>3900000</v>
      </c>
      <c r="D6" s="10">
        <v>3900000</v>
      </c>
      <c r="E6" s="10">
        <v>5400000</v>
      </c>
      <c r="F6" s="10">
        <v>7100000</v>
      </c>
      <c r="G6" s="10">
        <v>9600000</v>
      </c>
      <c r="H6" s="10">
        <v>10880684</v>
      </c>
      <c r="I6" s="10">
        <v>13072755</v>
      </c>
      <c r="J6" s="10">
        <v>12587163</v>
      </c>
      <c r="K6" s="10">
        <v>12864629</v>
      </c>
      <c r="L6" s="10">
        <v>13976477</v>
      </c>
      <c r="M6" s="10">
        <v>12958777</v>
      </c>
      <c r="N6" s="10">
        <v>21571903</v>
      </c>
      <c r="O6" s="10">
        <v>27978418</v>
      </c>
      <c r="P6" s="10">
        <v>52969589</v>
      </c>
      <c r="Q6" s="10">
        <v>66376284</v>
      </c>
      <c r="R6" s="10">
        <v>73060000</v>
      </c>
      <c r="S6" s="10">
        <v>73064000</v>
      </c>
      <c r="T6" s="10">
        <v>82576000</v>
      </c>
      <c r="U6" s="10">
        <v>72911000</v>
      </c>
      <c r="V6" s="10">
        <v>84565000</v>
      </c>
      <c r="W6" s="10">
        <v>91791000</v>
      </c>
      <c r="X6" s="10">
        <v>76857000</v>
      </c>
      <c r="Y6" s="10">
        <v>84146000</v>
      </c>
      <c r="Z6" s="10">
        <v>98292000</v>
      </c>
      <c r="AA6" s="10">
        <v>106289000</v>
      </c>
      <c r="AB6" s="10">
        <v>73822000</v>
      </c>
      <c r="AC6" s="10">
        <v>114580000</v>
      </c>
      <c r="AD6" s="10">
        <v>163164000</v>
      </c>
      <c r="AJ6" s="20" t="s">
        <v>117</v>
      </c>
      <c r="AK6" s="21" t="s">
        <v>118</v>
      </c>
      <c r="AL6" s="21" t="s">
        <v>119</v>
      </c>
      <c r="AM6" s="21" t="s">
        <v>120</v>
      </c>
    </row>
    <row r="7" spans="1:39" ht="19" x14ac:dyDescent="0.25">
      <c r="A7" s="5" t="s">
        <v>4</v>
      </c>
      <c r="B7" s="2">
        <v>0.86960000000000004</v>
      </c>
      <c r="C7" s="2">
        <v>0.86670000000000003</v>
      </c>
      <c r="D7" s="2">
        <v>0.8478</v>
      </c>
      <c r="E7" s="2">
        <v>0.85709999999999997</v>
      </c>
      <c r="F7" s="2">
        <v>0.9103</v>
      </c>
      <c r="G7" s="2">
        <v>0.92310000000000003</v>
      </c>
      <c r="H7" s="2">
        <v>0.85409999999999997</v>
      </c>
      <c r="I7" s="2">
        <v>0.66500000000000004</v>
      </c>
      <c r="J7" s="2">
        <v>0.80910000000000004</v>
      </c>
      <c r="K7" s="2">
        <v>0.85419999999999996</v>
      </c>
      <c r="L7" s="2">
        <v>0.87570000000000003</v>
      </c>
      <c r="M7" s="2">
        <v>0.87419999999999998</v>
      </c>
      <c r="N7" s="2">
        <v>0.88090000000000002</v>
      </c>
      <c r="O7" s="2">
        <v>0.87390000000000001</v>
      </c>
      <c r="P7" s="2">
        <v>0.88390000000000002</v>
      </c>
      <c r="Q7" s="2">
        <v>0.88329999999999997</v>
      </c>
      <c r="R7" s="2">
        <v>0.88039999999999996</v>
      </c>
      <c r="S7" s="2">
        <v>0.87509999999999999</v>
      </c>
      <c r="T7" s="2">
        <v>0.86719999999999997</v>
      </c>
      <c r="U7" s="2">
        <v>0.64980000000000004</v>
      </c>
      <c r="V7" s="2">
        <v>0.65469999999999995</v>
      </c>
      <c r="W7" s="2">
        <v>0.63449999999999995</v>
      </c>
      <c r="X7" s="2">
        <v>0.56989999999999996</v>
      </c>
      <c r="Y7" s="2">
        <v>0.58069999999999999</v>
      </c>
      <c r="Z7" s="2">
        <v>0.59299999999999997</v>
      </c>
      <c r="AA7" s="2">
        <v>0.58699999999999997</v>
      </c>
      <c r="AB7" s="2">
        <v>0.55789999999999995</v>
      </c>
      <c r="AC7" s="2">
        <v>0.58679999999999999</v>
      </c>
      <c r="AD7" s="2">
        <v>0.60970000000000002</v>
      </c>
      <c r="AJ7" s="18">
        <f>AD7</f>
        <v>0.60970000000000002</v>
      </c>
      <c r="AK7" s="22">
        <f>AD21</f>
        <v>0.31559999999999999</v>
      </c>
      <c r="AL7" s="22">
        <f>AD30</f>
        <v>0.17199999999999999</v>
      </c>
      <c r="AM7" s="22">
        <f>AD107/AD3</f>
        <v>0.15135640086690083</v>
      </c>
    </row>
    <row r="8" spans="1:39"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row>
    <row r="9" spans="1:39" ht="19" customHeight="1" x14ac:dyDescent="0.25">
      <c r="A9" s="14" t="s">
        <v>94</v>
      </c>
      <c r="B9" s="19">
        <f>B8/B3</f>
        <v>0</v>
      </c>
      <c r="C9" s="19">
        <f t="shared" ref="C9:AD9" si="1">C8/C3</f>
        <v>0</v>
      </c>
      <c r="D9" s="19">
        <f t="shared" si="1"/>
        <v>0</v>
      </c>
      <c r="E9" s="19">
        <f t="shared" si="1"/>
        <v>0</v>
      </c>
      <c r="F9" s="19">
        <f t="shared" si="1"/>
        <v>0</v>
      </c>
      <c r="G9" s="19">
        <f t="shared" si="1"/>
        <v>0</v>
      </c>
      <c r="H9" s="19">
        <f t="shared" si="1"/>
        <v>0</v>
      </c>
      <c r="I9" s="19">
        <f t="shared" si="1"/>
        <v>0</v>
      </c>
      <c r="J9" s="19">
        <f t="shared" si="1"/>
        <v>0</v>
      </c>
      <c r="K9" s="19">
        <f t="shared" si="1"/>
        <v>0</v>
      </c>
      <c r="L9" s="19">
        <f t="shared" si="1"/>
        <v>0</v>
      </c>
      <c r="M9" s="19">
        <f t="shared" si="1"/>
        <v>0</v>
      </c>
      <c r="N9" s="19">
        <f t="shared" si="1"/>
        <v>0</v>
      </c>
      <c r="O9" s="19">
        <f t="shared" si="1"/>
        <v>0</v>
      </c>
      <c r="P9" s="19">
        <f t="shared" si="1"/>
        <v>0</v>
      </c>
      <c r="Q9" s="19">
        <f t="shared" si="1"/>
        <v>0</v>
      </c>
      <c r="R9" s="19">
        <f t="shared" si="1"/>
        <v>0</v>
      </c>
      <c r="S9" s="19">
        <f t="shared" si="1"/>
        <v>0</v>
      </c>
      <c r="T9" s="19">
        <f t="shared" si="1"/>
        <v>0</v>
      </c>
      <c r="U9" s="19">
        <f t="shared" si="1"/>
        <v>0</v>
      </c>
      <c r="V9" s="19">
        <f t="shared" si="1"/>
        <v>0</v>
      </c>
      <c r="W9" s="19">
        <f t="shared" si="1"/>
        <v>0</v>
      </c>
      <c r="X9" s="19">
        <f t="shared" si="1"/>
        <v>0</v>
      </c>
      <c r="Y9" s="19">
        <f t="shared" si="1"/>
        <v>0</v>
      </c>
      <c r="Z9" s="19">
        <f t="shared" si="1"/>
        <v>0</v>
      </c>
      <c r="AA9" s="19">
        <f t="shared" si="1"/>
        <v>0</v>
      </c>
      <c r="AB9" s="19">
        <f t="shared" si="1"/>
        <v>0</v>
      </c>
      <c r="AC9" s="19">
        <f t="shared" si="1"/>
        <v>0</v>
      </c>
      <c r="AD9" s="19">
        <f t="shared" si="1"/>
        <v>0</v>
      </c>
      <c r="AJ9" s="20" t="s">
        <v>95</v>
      </c>
      <c r="AK9" s="21" t="s">
        <v>96</v>
      </c>
      <c r="AL9" s="21" t="s">
        <v>97</v>
      </c>
      <c r="AM9" s="21" t="s">
        <v>98</v>
      </c>
    </row>
    <row r="10" spans="1:39" ht="19" x14ac:dyDescent="0.25">
      <c r="A10" s="5" t="s">
        <v>6</v>
      </c>
      <c r="B10" s="1" t="s">
        <v>91</v>
      </c>
      <c r="C10" s="1" t="s">
        <v>91</v>
      </c>
      <c r="D10" s="1" t="s">
        <v>91</v>
      </c>
      <c r="E10" s="1" t="s">
        <v>91</v>
      </c>
      <c r="F10" s="1" t="s">
        <v>91</v>
      </c>
      <c r="G10" s="1" t="s">
        <v>91</v>
      </c>
      <c r="H10" s="1" t="s">
        <v>91</v>
      </c>
      <c r="I10" s="1" t="s">
        <v>91</v>
      </c>
      <c r="J10" s="1">
        <v>10983523</v>
      </c>
      <c r="K10" s="1">
        <v>9615287</v>
      </c>
      <c r="L10" s="1">
        <v>9022505</v>
      </c>
      <c r="M10" s="1">
        <v>9330376</v>
      </c>
      <c r="N10" s="1">
        <v>13200580</v>
      </c>
      <c r="O10" s="1">
        <v>16881038</v>
      </c>
      <c r="P10" s="1">
        <v>21310236</v>
      </c>
      <c r="Q10" s="1">
        <v>32494868</v>
      </c>
      <c r="R10" s="1">
        <v>36072000</v>
      </c>
      <c r="S10" s="1">
        <v>27729000</v>
      </c>
      <c r="T10" s="1">
        <v>34458000</v>
      </c>
      <c r="U10" s="1">
        <v>13534000</v>
      </c>
      <c r="V10" s="1">
        <v>16970000</v>
      </c>
      <c r="W10" s="1">
        <v>18126000</v>
      </c>
      <c r="X10" s="1">
        <v>27524000</v>
      </c>
      <c r="Y10" s="1">
        <v>29954000</v>
      </c>
      <c r="Z10" s="1">
        <v>34559000</v>
      </c>
      <c r="AA10" s="1">
        <v>37745000</v>
      </c>
      <c r="AB10" s="1">
        <v>35965000</v>
      </c>
      <c r="AC10" s="1">
        <v>36464000</v>
      </c>
      <c r="AD10" s="1">
        <v>55765000</v>
      </c>
      <c r="AJ10" s="18">
        <f>AD9</f>
        <v>0</v>
      </c>
      <c r="AK10" s="22">
        <f>AD13</f>
        <v>0.24521709887153426</v>
      </c>
      <c r="AL10" s="22">
        <f>AD80</f>
        <v>8.7923174650624027E-3</v>
      </c>
      <c r="AM10" s="22">
        <f>AD89</f>
        <v>8.9690606083252369E-2</v>
      </c>
    </row>
    <row r="11" spans="1:39" ht="19" x14ac:dyDescent="0.25">
      <c r="A11" s="5" t="s">
        <v>7</v>
      </c>
      <c r="B11" s="1" t="s">
        <v>91</v>
      </c>
      <c r="C11" s="1" t="s">
        <v>91</v>
      </c>
      <c r="D11" s="1" t="s">
        <v>91</v>
      </c>
      <c r="E11" s="1" t="s">
        <v>91</v>
      </c>
      <c r="F11" s="1" t="s">
        <v>91</v>
      </c>
      <c r="G11" s="1" t="s">
        <v>91</v>
      </c>
      <c r="H11" s="1" t="s">
        <v>91</v>
      </c>
      <c r="I11" s="1" t="s">
        <v>91</v>
      </c>
      <c r="J11" s="1">
        <v>653884</v>
      </c>
      <c r="K11" s="1">
        <v>817328</v>
      </c>
      <c r="L11" s="1">
        <v>861280</v>
      </c>
      <c r="M11" s="1">
        <v>752866</v>
      </c>
      <c r="N11" s="1">
        <v>1176277</v>
      </c>
      <c r="O11" s="1">
        <v>1325367</v>
      </c>
      <c r="P11" s="1">
        <v>2557770</v>
      </c>
      <c r="Q11" s="1">
        <v>8091745</v>
      </c>
      <c r="R11" s="1">
        <v>6740000</v>
      </c>
      <c r="S11" s="1">
        <v>3471000</v>
      </c>
      <c r="T11" s="1">
        <v>4046000</v>
      </c>
      <c r="U11" s="1">
        <v>4611000</v>
      </c>
      <c r="V11" s="1">
        <v>5578000</v>
      </c>
      <c r="W11" s="1">
        <v>5610000</v>
      </c>
      <c r="X11" s="1">
        <v>5374000</v>
      </c>
      <c r="Y11" s="1">
        <v>6704000</v>
      </c>
      <c r="Z11" s="1">
        <v>7536000</v>
      </c>
      <c r="AA11" s="1">
        <v>8392000</v>
      </c>
      <c r="AB11" s="1">
        <v>5367000</v>
      </c>
      <c r="AC11" s="1">
        <v>6676000</v>
      </c>
      <c r="AD11" s="1">
        <v>9860000</v>
      </c>
    </row>
    <row r="12" spans="1:39" ht="20" x14ac:dyDescent="0.25">
      <c r="A12" s="5" t="s">
        <v>8</v>
      </c>
      <c r="B12" s="1">
        <v>3500000</v>
      </c>
      <c r="C12" s="1">
        <v>3200000</v>
      </c>
      <c r="D12" s="1">
        <v>4700000</v>
      </c>
      <c r="E12" s="1">
        <v>6100000</v>
      </c>
      <c r="F12" s="1">
        <v>6900000</v>
      </c>
      <c r="G12" s="1">
        <v>8900000</v>
      </c>
      <c r="H12" s="1">
        <v>10180285</v>
      </c>
      <c r="I12" s="1">
        <v>11542897</v>
      </c>
      <c r="J12" s="1">
        <v>11637407</v>
      </c>
      <c r="K12" s="1">
        <v>10432615</v>
      </c>
      <c r="L12" s="1">
        <v>9883785</v>
      </c>
      <c r="M12" s="1">
        <v>10083242</v>
      </c>
      <c r="N12" s="1">
        <v>14376857</v>
      </c>
      <c r="O12" s="1">
        <v>18206405</v>
      </c>
      <c r="P12" s="1">
        <v>23868006</v>
      </c>
      <c r="Q12" s="1">
        <v>40586613</v>
      </c>
      <c r="R12" s="1">
        <v>42812000</v>
      </c>
      <c r="S12" s="1">
        <v>31200000</v>
      </c>
      <c r="T12" s="1">
        <v>38504000</v>
      </c>
      <c r="U12" s="1">
        <v>18145000</v>
      </c>
      <c r="V12" s="1">
        <v>22548000</v>
      </c>
      <c r="W12" s="1">
        <v>23736000</v>
      </c>
      <c r="X12" s="1">
        <v>32898000</v>
      </c>
      <c r="Y12" s="1">
        <v>36658000</v>
      </c>
      <c r="Z12" s="1">
        <v>42095000</v>
      </c>
      <c r="AA12" s="1">
        <v>46137000</v>
      </c>
      <c r="AB12" s="1">
        <v>41332000</v>
      </c>
      <c r="AC12" s="1">
        <v>43140000</v>
      </c>
      <c r="AD12" s="1">
        <v>65625000</v>
      </c>
      <c r="AJ12" s="20" t="s">
        <v>121</v>
      </c>
      <c r="AK12" s="21" t="s">
        <v>122</v>
      </c>
      <c r="AL12" s="21" t="s">
        <v>123</v>
      </c>
      <c r="AM12" s="21" t="s">
        <v>124</v>
      </c>
    </row>
    <row r="13" spans="1:39" ht="19" x14ac:dyDescent="0.25">
      <c r="A13" s="14" t="s">
        <v>99</v>
      </c>
      <c r="B13" s="19">
        <f>B12/B3</f>
        <v>0.76086956521739135</v>
      </c>
      <c r="C13" s="19">
        <f t="shared" ref="C13:AD13" si="2">C12/C3</f>
        <v>0.71111111111111114</v>
      </c>
      <c r="D13" s="19">
        <f t="shared" si="2"/>
        <v>1.0217391304347827</v>
      </c>
      <c r="E13" s="19">
        <f t="shared" si="2"/>
        <v>0.96825396825396826</v>
      </c>
      <c r="F13" s="19">
        <f t="shared" si="2"/>
        <v>0.88461538461538458</v>
      </c>
      <c r="G13" s="19">
        <f t="shared" si="2"/>
        <v>0.85576923076923073</v>
      </c>
      <c r="H13" s="19">
        <f t="shared" si="2"/>
        <v>0.79912335952730895</v>
      </c>
      <c r="I13" s="19">
        <f t="shared" si="2"/>
        <v>0.5871367132288936</v>
      </c>
      <c r="J13" s="19">
        <f t="shared" si="2"/>
        <v>0.74803503846618136</v>
      </c>
      <c r="K13" s="19">
        <f t="shared" si="2"/>
        <v>0.69275654568865819</v>
      </c>
      <c r="L13" s="19">
        <f t="shared" si="2"/>
        <v>0.61929703620698251</v>
      </c>
      <c r="M13" s="19">
        <f t="shared" si="2"/>
        <v>0.68017843816619439</v>
      </c>
      <c r="N13" s="19">
        <f t="shared" si="2"/>
        <v>0.5871168689456927</v>
      </c>
      <c r="O13" s="19">
        <f t="shared" si="2"/>
        <v>0.56870241526035226</v>
      </c>
      <c r="P13" s="19">
        <f t="shared" si="2"/>
        <v>0.3982682111798137</v>
      </c>
      <c r="Q13" s="19">
        <f t="shared" si="2"/>
        <v>0.5400775940299134</v>
      </c>
      <c r="R13" s="19">
        <f t="shared" si="2"/>
        <v>0.5158880306554039</v>
      </c>
      <c r="S13" s="19">
        <f t="shared" si="2"/>
        <v>0.37369297289528214</v>
      </c>
      <c r="T13" s="19">
        <f t="shared" si="2"/>
        <v>0.40436883007771479</v>
      </c>
      <c r="U13" s="19">
        <f t="shared" si="2"/>
        <v>0.16170861257664337</v>
      </c>
      <c r="V13" s="19">
        <f t="shared" si="2"/>
        <v>0.17455525105671421</v>
      </c>
      <c r="W13" s="19">
        <f t="shared" si="2"/>
        <v>0.1640733546696897</v>
      </c>
      <c r="X13" s="19">
        <f t="shared" si="2"/>
        <v>0.24394186563843986</v>
      </c>
      <c r="Y13" s="19">
        <f t="shared" si="2"/>
        <v>0.25299525176678445</v>
      </c>
      <c r="Z13" s="19">
        <f t="shared" si="2"/>
        <v>0.25396988198952625</v>
      </c>
      <c r="AA13" s="19">
        <f t="shared" si="2"/>
        <v>0.25481749043129587</v>
      </c>
      <c r="AB13" s="19">
        <f t="shared" si="2"/>
        <v>0.3123474423209171</v>
      </c>
      <c r="AC13" s="19">
        <f t="shared" si="2"/>
        <v>0.22093845066527365</v>
      </c>
      <c r="AD13" s="19">
        <f t="shared" si="2"/>
        <v>0.24521709887153426</v>
      </c>
      <c r="AJ13" s="18">
        <f>AD28/AD72</f>
        <v>0.19082849433619736</v>
      </c>
      <c r="AK13" s="22">
        <f>AD28/AD54</f>
        <v>8.6749017405951714E-2</v>
      </c>
      <c r="AL13" s="22">
        <f>AD22/(AD72+AD56+AD61)</f>
        <v>0.14809296040851516</v>
      </c>
      <c r="AM13" s="23">
        <f>AD67/AD72</f>
        <v>1.197750228997509</v>
      </c>
    </row>
    <row r="14" spans="1:39" ht="19" x14ac:dyDescent="0.25">
      <c r="A14" s="5" t="s">
        <v>9</v>
      </c>
      <c r="B14" s="1">
        <v>100000</v>
      </c>
      <c r="C14" s="1">
        <v>100000</v>
      </c>
      <c r="D14" s="1">
        <v>100000</v>
      </c>
      <c r="E14" s="1">
        <v>300000</v>
      </c>
      <c r="F14" s="1">
        <v>400000</v>
      </c>
      <c r="G14" s="1">
        <v>600000</v>
      </c>
      <c r="H14" s="1">
        <v>585797</v>
      </c>
      <c r="I14" s="1" t="s">
        <v>91</v>
      </c>
      <c r="J14" s="1">
        <v>325776</v>
      </c>
      <c r="K14" s="1">
        <v>2074067</v>
      </c>
      <c r="L14" s="1">
        <v>3027123</v>
      </c>
      <c r="M14" s="1">
        <v>2576455</v>
      </c>
      <c r="N14" s="1">
        <v>4203665</v>
      </c>
      <c r="O14" s="1">
        <v>5668327</v>
      </c>
      <c r="P14" s="1">
        <v>15381563</v>
      </c>
      <c r="Q14" s="1">
        <v>12377689</v>
      </c>
      <c r="R14" s="1">
        <v>16110000</v>
      </c>
      <c r="S14" s="1">
        <v>23070000</v>
      </c>
      <c r="T14" s="1">
        <v>27227000</v>
      </c>
      <c r="U14" s="1">
        <v>32637000</v>
      </c>
      <c r="V14" s="1">
        <v>36873000</v>
      </c>
      <c r="W14" s="1">
        <v>41147000</v>
      </c>
      <c r="X14" s="1">
        <v>17350000</v>
      </c>
      <c r="Y14" s="1">
        <v>17037000</v>
      </c>
      <c r="Z14" s="1">
        <v>19451000</v>
      </c>
      <c r="AA14" s="1">
        <v>22831000</v>
      </c>
      <c r="AB14" s="1">
        <v>19196000</v>
      </c>
      <c r="AC14" s="1">
        <v>19706000</v>
      </c>
      <c r="AD14" s="1">
        <v>25613000</v>
      </c>
    </row>
    <row r="15" spans="1:39" ht="20" x14ac:dyDescent="0.25">
      <c r="A15" s="5" t="s">
        <v>10</v>
      </c>
      <c r="B15" s="1">
        <v>3600000</v>
      </c>
      <c r="C15" s="1">
        <v>3300000</v>
      </c>
      <c r="D15" s="1">
        <v>4800000</v>
      </c>
      <c r="E15" s="1">
        <v>6400000</v>
      </c>
      <c r="F15" s="1">
        <v>7300000</v>
      </c>
      <c r="G15" s="1">
        <v>9500000</v>
      </c>
      <c r="H15" s="1">
        <v>10766082</v>
      </c>
      <c r="I15" s="1">
        <v>11542897</v>
      </c>
      <c r="J15" s="1">
        <v>11963183</v>
      </c>
      <c r="K15" s="1">
        <v>12506682</v>
      </c>
      <c r="L15" s="1">
        <v>12910908</v>
      </c>
      <c r="M15" s="1">
        <v>12659697</v>
      </c>
      <c r="N15" s="1">
        <v>18580522</v>
      </c>
      <c r="O15" s="1">
        <v>23874732</v>
      </c>
      <c r="P15" s="1">
        <v>39249569</v>
      </c>
      <c r="Q15" s="1">
        <v>52964302</v>
      </c>
      <c r="R15" s="1">
        <v>58922000</v>
      </c>
      <c r="S15" s="1">
        <v>54270000</v>
      </c>
      <c r="T15" s="1">
        <v>65731000</v>
      </c>
      <c r="U15" s="1">
        <v>50782000</v>
      </c>
      <c r="V15" s="1">
        <v>59421000</v>
      </c>
      <c r="W15" s="1">
        <v>64883000</v>
      </c>
      <c r="X15" s="1">
        <v>50248000</v>
      </c>
      <c r="Y15" s="1">
        <v>53695000</v>
      </c>
      <c r="Z15" s="1">
        <v>61546000</v>
      </c>
      <c r="AA15" s="1">
        <v>68968000</v>
      </c>
      <c r="AB15" s="1">
        <v>60528000</v>
      </c>
      <c r="AC15" s="1">
        <v>62846000</v>
      </c>
      <c r="AD15" s="1">
        <v>91238000</v>
      </c>
      <c r="AJ15" s="20" t="s">
        <v>125</v>
      </c>
      <c r="AK15" s="21" t="s">
        <v>126</v>
      </c>
      <c r="AL15" s="21" t="s">
        <v>127</v>
      </c>
      <c r="AM15" s="21" t="s">
        <v>128</v>
      </c>
    </row>
    <row r="16" spans="1:39" ht="19" x14ac:dyDescent="0.25">
      <c r="A16" s="5" t="s">
        <v>11</v>
      </c>
      <c r="B16" s="1">
        <v>4200000</v>
      </c>
      <c r="C16" s="1">
        <v>3900000</v>
      </c>
      <c r="D16" s="1">
        <v>5500000</v>
      </c>
      <c r="E16" s="1">
        <v>7300000</v>
      </c>
      <c r="F16" s="1">
        <v>8000000</v>
      </c>
      <c r="G16" s="1">
        <v>10300000</v>
      </c>
      <c r="H16" s="1">
        <v>12624714</v>
      </c>
      <c r="I16" s="1">
        <v>18129783</v>
      </c>
      <c r="J16" s="1">
        <v>14933322</v>
      </c>
      <c r="K16" s="1">
        <v>14701622</v>
      </c>
      <c r="L16" s="1">
        <v>14894115</v>
      </c>
      <c r="M16" s="1">
        <v>14525327</v>
      </c>
      <c r="N16" s="1">
        <v>21495834</v>
      </c>
      <c r="O16" s="1">
        <v>27910254</v>
      </c>
      <c r="P16" s="1">
        <v>46209458</v>
      </c>
      <c r="Q16" s="1">
        <v>61737614</v>
      </c>
      <c r="R16" s="1">
        <v>68849000</v>
      </c>
      <c r="S16" s="1">
        <v>64697000</v>
      </c>
      <c r="T16" s="1">
        <v>78375000</v>
      </c>
      <c r="U16" s="1">
        <v>90079000</v>
      </c>
      <c r="V16" s="1">
        <v>104030000</v>
      </c>
      <c r="W16" s="1">
        <v>117759000</v>
      </c>
      <c r="X16" s="1">
        <v>108251000</v>
      </c>
      <c r="Y16" s="1">
        <v>114445000</v>
      </c>
      <c r="Z16" s="1">
        <v>129002000</v>
      </c>
      <c r="AA16" s="1">
        <v>143738000</v>
      </c>
      <c r="AB16" s="1">
        <v>119033000</v>
      </c>
      <c r="AC16" s="1">
        <v>143524000</v>
      </c>
      <c r="AD16" s="1">
        <v>195694000</v>
      </c>
      <c r="AJ16" s="65">
        <f>(AD35+AC35+AB35+AA35+Z35)/5</f>
        <v>-7.0664906830327319E-3</v>
      </c>
      <c r="AK16" s="37">
        <f>AL101/AD3</f>
        <v>2.726315297810328</v>
      </c>
      <c r="AL16" s="37">
        <f>AL101/AD28</f>
        <v>15.847103668469408</v>
      </c>
      <c r="AM16" s="38">
        <f>AL101/AD107</f>
        <v>18.012553695748778</v>
      </c>
    </row>
    <row r="17" spans="1:39"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v>2712987</v>
      </c>
      <c r="Q17" s="1">
        <v>3416911</v>
      </c>
      <c r="R17" s="1">
        <v>4473000</v>
      </c>
      <c r="S17" s="1">
        <v>4289000</v>
      </c>
      <c r="T17" s="1">
        <v>4313000</v>
      </c>
      <c r="U17" s="1">
        <v>7077000</v>
      </c>
      <c r="V17" s="1">
        <v>7752000</v>
      </c>
      <c r="W17" s="1">
        <v>6969000</v>
      </c>
      <c r="X17" s="1">
        <v>7982000</v>
      </c>
      <c r="Y17" s="1">
        <v>8764000</v>
      </c>
      <c r="Z17" s="1">
        <v>9954000</v>
      </c>
      <c r="AA17" s="1">
        <v>10209000</v>
      </c>
      <c r="AB17" s="1">
        <v>9811000</v>
      </c>
      <c r="AC17" s="1">
        <v>9992000</v>
      </c>
      <c r="AD17" s="1">
        <v>11950000</v>
      </c>
    </row>
    <row r="18" spans="1:39" ht="20" x14ac:dyDescent="0.25">
      <c r="A18" s="5" t="s">
        <v>13</v>
      </c>
      <c r="B18" s="1">
        <v>100000</v>
      </c>
      <c r="C18" s="1">
        <v>100000</v>
      </c>
      <c r="D18" s="1">
        <v>100000</v>
      </c>
      <c r="E18" s="1">
        <v>300000</v>
      </c>
      <c r="F18" s="1">
        <v>400000</v>
      </c>
      <c r="G18" s="1">
        <v>600000</v>
      </c>
      <c r="H18" s="1">
        <v>585797</v>
      </c>
      <c r="I18" s="1">
        <v>849862</v>
      </c>
      <c r="J18" s="1">
        <v>490021</v>
      </c>
      <c r="K18" s="1">
        <v>531561</v>
      </c>
      <c r="L18" s="1">
        <v>544137</v>
      </c>
      <c r="M18" s="1">
        <v>590466</v>
      </c>
      <c r="N18" s="1">
        <v>1084799</v>
      </c>
      <c r="O18" s="1">
        <v>1632202</v>
      </c>
      <c r="P18" s="1">
        <v>2541683</v>
      </c>
      <c r="Q18" s="1">
        <v>3205205</v>
      </c>
      <c r="R18" s="1">
        <v>3743000</v>
      </c>
      <c r="S18" s="1">
        <v>3904000</v>
      </c>
      <c r="T18" s="1">
        <v>4921000</v>
      </c>
      <c r="U18" s="1">
        <v>5314000</v>
      </c>
      <c r="V18" s="1">
        <v>6316000</v>
      </c>
      <c r="W18" s="1">
        <v>6894000</v>
      </c>
      <c r="X18" s="1">
        <v>7173000</v>
      </c>
      <c r="Y18" s="1">
        <v>6920000</v>
      </c>
      <c r="Z18" s="1">
        <v>7722000</v>
      </c>
      <c r="AA18" s="1">
        <v>9072000</v>
      </c>
      <c r="AB18" s="1">
        <v>8836000</v>
      </c>
      <c r="AC18" s="1">
        <v>8238000</v>
      </c>
      <c r="AD18" s="1">
        <v>12391000</v>
      </c>
      <c r="AJ18" s="20" t="s">
        <v>129</v>
      </c>
      <c r="AK18" s="21" t="s">
        <v>130</v>
      </c>
      <c r="AL18" s="21" t="s">
        <v>131</v>
      </c>
      <c r="AM18" s="21" t="s">
        <v>132</v>
      </c>
    </row>
    <row r="19" spans="1:39" ht="19" x14ac:dyDescent="0.25">
      <c r="A19" s="6" t="s">
        <v>14</v>
      </c>
      <c r="B19" s="10">
        <v>400000</v>
      </c>
      <c r="C19" s="10">
        <v>700000</v>
      </c>
      <c r="D19" s="10">
        <v>-800000</v>
      </c>
      <c r="E19" s="10">
        <v>-1100000</v>
      </c>
      <c r="F19" s="10">
        <v>-200000</v>
      </c>
      <c r="G19" s="10">
        <v>700000</v>
      </c>
      <c r="H19" s="10">
        <v>788384</v>
      </c>
      <c r="I19" s="10">
        <v>2164580</v>
      </c>
      <c r="J19" s="10">
        <v>-1781159</v>
      </c>
      <c r="K19" s="10">
        <v>969855</v>
      </c>
      <c r="L19" s="10">
        <v>1319390</v>
      </c>
      <c r="M19" s="10">
        <v>375318</v>
      </c>
      <c r="N19" s="10">
        <v>2837513</v>
      </c>
      <c r="O19" s="10">
        <v>4923547</v>
      </c>
      <c r="P19" s="10">
        <v>16355315</v>
      </c>
      <c r="Q19" s="10">
        <v>15244947</v>
      </c>
      <c r="R19" s="10">
        <v>-2963000</v>
      </c>
      <c r="S19" s="10">
        <v>21442000</v>
      </c>
      <c r="T19" s="10">
        <v>21186000</v>
      </c>
      <c r="U19" s="10">
        <v>27083000</v>
      </c>
      <c r="V19" s="10">
        <v>31224000</v>
      </c>
      <c r="W19" s="10">
        <v>28339000</v>
      </c>
      <c r="X19" s="10">
        <v>28901000</v>
      </c>
      <c r="Y19" s="10">
        <v>30302000</v>
      </c>
      <c r="Z19" s="10">
        <v>36271000</v>
      </c>
      <c r="AA19" s="10">
        <v>43319000</v>
      </c>
      <c r="AB19" s="10">
        <v>12069000</v>
      </c>
      <c r="AC19" s="10">
        <v>52555000</v>
      </c>
      <c r="AD19" s="10">
        <v>84453000</v>
      </c>
      <c r="AE19" s="39">
        <v>91500000</v>
      </c>
      <c r="AF19" s="39">
        <v>112200000</v>
      </c>
      <c r="AG19" s="39">
        <v>86907000</v>
      </c>
      <c r="AH19" s="39">
        <v>95899000</v>
      </c>
      <c r="AI19" s="39">
        <v>105500000</v>
      </c>
      <c r="AJ19" s="40">
        <f>AD40-AD56-AD61</f>
        <v>-205279000</v>
      </c>
      <c r="AK19" s="37">
        <f>AL101/AE3</f>
        <v>2.4119553719008264</v>
      </c>
      <c r="AL19" s="37">
        <f>AL101/AE28</f>
        <v>14.959434523199311</v>
      </c>
      <c r="AM19" s="38">
        <f>AL101/AE106</f>
        <v>17.342916567625387</v>
      </c>
    </row>
    <row r="20" spans="1:39" ht="19" customHeight="1" x14ac:dyDescent="0.25">
      <c r="A20" s="14" t="s">
        <v>100</v>
      </c>
      <c r="B20" s="1"/>
      <c r="C20" s="19">
        <f>(C19/B19)-1</f>
        <v>0.75</v>
      </c>
      <c r="D20" s="19">
        <f>(D19/C19)-1</f>
        <v>-2.1428571428571428</v>
      </c>
      <c r="E20" s="19">
        <f>(E19/D19)-1</f>
        <v>0.375</v>
      </c>
      <c r="F20" s="19">
        <f t="shared" ref="F20:AI20" si="3">(F19/E19)-1</f>
        <v>-0.81818181818181812</v>
      </c>
      <c r="G20" s="19">
        <f t="shared" si="3"/>
        <v>-4.5</v>
      </c>
      <c r="H20" s="19">
        <f t="shared" si="3"/>
        <v>0.12626285714285723</v>
      </c>
      <c r="I20" s="19">
        <f t="shared" si="3"/>
        <v>1.7455909810447698</v>
      </c>
      <c r="J20" s="19">
        <f t="shared" si="3"/>
        <v>-1.822865867743396</v>
      </c>
      <c r="K20" s="19">
        <f t="shared" si="3"/>
        <v>-1.5445078176625444</v>
      </c>
      <c r="L20" s="19">
        <f t="shared" si="3"/>
        <v>0.3603992349371814</v>
      </c>
      <c r="M20" s="19">
        <f t="shared" si="3"/>
        <v>-0.71553672530487566</v>
      </c>
      <c r="N20" s="19">
        <f t="shared" si="3"/>
        <v>6.5602902072375961</v>
      </c>
      <c r="O20" s="19">
        <f t="shared" si="3"/>
        <v>0.73516279925413563</v>
      </c>
      <c r="P20" s="19">
        <f t="shared" si="3"/>
        <v>2.3218561740143842</v>
      </c>
      <c r="Q20" s="19">
        <f t="shared" si="3"/>
        <v>-6.7890346349183783E-2</v>
      </c>
      <c r="R20" s="19">
        <f t="shared" si="3"/>
        <v>-1.1943594818663521</v>
      </c>
      <c r="S20" s="19">
        <f t="shared" si="3"/>
        <v>-8.2365845426932154</v>
      </c>
      <c r="T20" s="19">
        <f t="shared" si="3"/>
        <v>-1.1939184777539413E-2</v>
      </c>
      <c r="U20" s="19">
        <f t="shared" si="3"/>
        <v>0.27834418955914275</v>
      </c>
      <c r="V20" s="19">
        <f t="shared" si="3"/>
        <v>0.15290034338884162</v>
      </c>
      <c r="W20" s="19">
        <f t="shared" si="3"/>
        <v>-9.2396874199333845E-2</v>
      </c>
      <c r="X20" s="19">
        <f t="shared" si="3"/>
        <v>1.9831327852076752E-2</v>
      </c>
      <c r="Y20" s="19">
        <f t="shared" si="3"/>
        <v>4.8475831286114657E-2</v>
      </c>
      <c r="Z20" s="19">
        <f t="shared" si="3"/>
        <v>0.19698369744571309</v>
      </c>
      <c r="AA20" s="19">
        <f t="shared" si="3"/>
        <v>0.19431501750709934</v>
      </c>
      <c r="AB20" s="19">
        <f t="shared" si="3"/>
        <v>-0.7213924605831159</v>
      </c>
      <c r="AC20" s="19">
        <f t="shared" si="3"/>
        <v>3.3545447013008536</v>
      </c>
      <c r="AD20" s="19">
        <f t="shared" si="3"/>
        <v>0.60694510512796129</v>
      </c>
      <c r="AE20" s="17">
        <f t="shared" si="3"/>
        <v>8.3442861710063543E-2</v>
      </c>
      <c r="AF20" s="17">
        <f t="shared" si="3"/>
        <v>0.22622950819672139</v>
      </c>
      <c r="AG20" s="17">
        <f t="shared" si="3"/>
        <v>-0.22542780748663105</v>
      </c>
      <c r="AH20" s="17">
        <f t="shared" si="3"/>
        <v>0.1034669244134534</v>
      </c>
      <c r="AI20" s="17">
        <f t="shared" si="3"/>
        <v>0.10011574677525314</v>
      </c>
    </row>
    <row r="21" spans="1:39" ht="20" x14ac:dyDescent="0.25">
      <c r="A21" s="5" t="s">
        <v>15</v>
      </c>
      <c r="B21" s="2">
        <v>8.6999999999999994E-2</v>
      </c>
      <c r="C21" s="2">
        <v>0.15559999999999999</v>
      </c>
      <c r="D21" s="2">
        <v>-0.1739</v>
      </c>
      <c r="E21" s="2">
        <v>-0.17460000000000001</v>
      </c>
      <c r="F21" s="2">
        <v>-2.5600000000000001E-2</v>
      </c>
      <c r="G21" s="2">
        <v>6.7299999999999999E-2</v>
      </c>
      <c r="H21" s="2">
        <v>6.1899999999999997E-2</v>
      </c>
      <c r="I21" s="2">
        <v>0.1101</v>
      </c>
      <c r="J21" s="2">
        <v>-0.1145</v>
      </c>
      <c r="K21" s="2">
        <v>6.4399999999999999E-2</v>
      </c>
      <c r="L21" s="2">
        <v>8.2699999999999996E-2</v>
      </c>
      <c r="M21" s="2">
        <v>2.53E-2</v>
      </c>
      <c r="N21" s="2">
        <v>0.1159</v>
      </c>
      <c r="O21" s="2">
        <v>0.15379999999999999</v>
      </c>
      <c r="P21" s="2">
        <v>0.27289999999999998</v>
      </c>
      <c r="Q21" s="2">
        <v>0.2029</v>
      </c>
      <c r="R21" s="2">
        <v>-3.5700000000000003E-2</v>
      </c>
      <c r="S21" s="2">
        <v>0.25679999999999997</v>
      </c>
      <c r="T21" s="2">
        <v>0.2225</v>
      </c>
      <c r="U21" s="2">
        <v>0.2414</v>
      </c>
      <c r="V21" s="2">
        <v>0.2417</v>
      </c>
      <c r="W21" s="2">
        <v>0.19589999999999999</v>
      </c>
      <c r="X21" s="2">
        <v>0.21429999999999999</v>
      </c>
      <c r="Y21" s="2">
        <v>0.20910000000000001</v>
      </c>
      <c r="Z21" s="2">
        <v>0.21879999999999999</v>
      </c>
      <c r="AA21" s="2">
        <v>0.23930000000000001</v>
      </c>
      <c r="AB21" s="2">
        <v>9.1200000000000003E-2</v>
      </c>
      <c r="AC21" s="2">
        <v>0.26919999999999999</v>
      </c>
      <c r="AD21" s="2">
        <v>0.31559999999999999</v>
      </c>
      <c r="AE21" s="41">
        <f>AE19/AE3</f>
        <v>0.30247933884297523</v>
      </c>
      <c r="AF21" s="41">
        <f t="shared" ref="AF21:AI21" si="4">AF19/AF3</f>
        <v>0.32057142857142856</v>
      </c>
      <c r="AG21" s="41">
        <f t="shared" si="4"/>
        <v>0.32057174474363703</v>
      </c>
      <c r="AH21" s="41">
        <f t="shared" si="4"/>
        <v>0.3306862068965517</v>
      </c>
      <c r="AI21" s="41">
        <f t="shared" si="4"/>
        <v>0.34364820846905536</v>
      </c>
      <c r="AL21" s="20" t="s">
        <v>133</v>
      </c>
      <c r="AM21" s="21" t="s">
        <v>134</v>
      </c>
    </row>
    <row r="22" spans="1:39" ht="19" x14ac:dyDescent="0.25">
      <c r="A22" s="6" t="s">
        <v>16</v>
      </c>
      <c r="B22" s="10">
        <v>400000</v>
      </c>
      <c r="C22" s="10">
        <v>600000</v>
      </c>
      <c r="D22" s="10">
        <v>-900000</v>
      </c>
      <c r="E22" s="10">
        <v>-1000000</v>
      </c>
      <c r="F22" s="10">
        <v>-200000</v>
      </c>
      <c r="G22" s="10">
        <v>100000</v>
      </c>
      <c r="H22" s="10">
        <v>114602</v>
      </c>
      <c r="I22" s="10">
        <v>1529858</v>
      </c>
      <c r="J22" s="10">
        <v>623980</v>
      </c>
      <c r="K22" s="10">
        <v>357947</v>
      </c>
      <c r="L22" s="10">
        <v>1065569</v>
      </c>
      <c r="M22" s="10">
        <v>299080</v>
      </c>
      <c r="N22" s="10">
        <v>2991381</v>
      </c>
      <c r="O22" s="10">
        <v>4103686</v>
      </c>
      <c r="P22" s="10">
        <v>13720020</v>
      </c>
      <c r="Q22" s="10">
        <v>13411982</v>
      </c>
      <c r="R22" s="10">
        <v>-6373000</v>
      </c>
      <c r="S22" s="10">
        <v>18794000</v>
      </c>
      <c r="T22" s="10">
        <v>16513000</v>
      </c>
      <c r="U22" s="10">
        <v>22113000</v>
      </c>
      <c r="V22" s="10">
        <v>18875000</v>
      </c>
      <c r="W22" s="10">
        <v>20878000</v>
      </c>
      <c r="X22" s="10">
        <v>20848000</v>
      </c>
      <c r="Y22" s="10">
        <v>23139000</v>
      </c>
      <c r="Z22" s="10">
        <v>28396000</v>
      </c>
      <c r="AA22" s="10">
        <v>34701000</v>
      </c>
      <c r="AB22" s="10">
        <v>2746000</v>
      </c>
      <c r="AC22" s="10">
        <v>38548000</v>
      </c>
      <c r="AD22" s="10">
        <v>71459000</v>
      </c>
      <c r="AL22" s="42">
        <f>(-1*AD98)/AL101</f>
        <v>2.4451201418827563E-3</v>
      </c>
      <c r="AM22" s="43">
        <f>AD107/AL101</f>
        <v>5.5516836584698949E-2</v>
      </c>
    </row>
    <row r="23" spans="1:39" ht="19" x14ac:dyDescent="0.25">
      <c r="A23" s="5" t="s">
        <v>17</v>
      </c>
      <c r="B23" s="2">
        <v>8.6999999999999994E-2</v>
      </c>
      <c r="C23" s="2">
        <v>0.1333</v>
      </c>
      <c r="D23" s="2">
        <v>-0.19570000000000001</v>
      </c>
      <c r="E23" s="2">
        <v>-0.15870000000000001</v>
      </c>
      <c r="F23" s="2">
        <v>-2.5600000000000001E-2</v>
      </c>
      <c r="G23" s="2">
        <v>9.5999999999999992E-3</v>
      </c>
      <c r="H23" s="2">
        <v>8.9999999999999993E-3</v>
      </c>
      <c r="I23" s="2">
        <v>7.7799999999999994E-2</v>
      </c>
      <c r="J23" s="2">
        <v>4.0099999999999997E-2</v>
      </c>
      <c r="K23" s="2">
        <v>2.3800000000000002E-2</v>
      </c>
      <c r="L23" s="2">
        <v>6.6799999999999998E-2</v>
      </c>
      <c r="M23" s="2">
        <v>2.0199999999999999E-2</v>
      </c>
      <c r="N23" s="2">
        <v>0.1222</v>
      </c>
      <c r="O23" s="2">
        <v>0.12820000000000001</v>
      </c>
      <c r="P23" s="2">
        <v>0.22889999999999999</v>
      </c>
      <c r="Q23" s="2">
        <v>0.17849999999999999</v>
      </c>
      <c r="R23" s="2">
        <v>-7.6799999999999993E-2</v>
      </c>
      <c r="S23" s="2">
        <v>0.22509999999999999</v>
      </c>
      <c r="T23" s="2">
        <v>0.1734</v>
      </c>
      <c r="U23" s="2">
        <v>0.1971</v>
      </c>
      <c r="V23" s="2">
        <v>0.14610000000000001</v>
      </c>
      <c r="W23" s="2">
        <v>0.14430000000000001</v>
      </c>
      <c r="X23" s="2">
        <v>0.15459999999999999</v>
      </c>
      <c r="Y23" s="2">
        <v>0.15970000000000001</v>
      </c>
      <c r="Z23" s="2">
        <v>0.17130000000000001</v>
      </c>
      <c r="AA23" s="2">
        <v>0.19170000000000001</v>
      </c>
      <c r="AB23" s="2">
        <v>2.0799999999999999E-2</v>
      </c>
      <c r="AC23" s="2">
        <v>0.19739999999999999</v>
      </c>
      <c r="AD23" s="2">
        <v>0.26700000000000002</v>
      </c>
    </row>
    <row r="24" spans="1:39" ht="19" x14ac:dyDescent="0.25">
      <c r="A24" s="5" t="s">
        <v>18</v>
      </c>
      <c r="B24" s="1">
        <v>-100000</v>
      </c>
      <c r="C24" s="1" t="s">
        <v>91</v>
      </c>
      <c r="D24" s="1" t="s">
        <v>91</v>
      </c>
      <c r="E24" s="1">
        <v>-200000</v>
      </c>
      <c r="F24" s="1" t="s">
        <v>91</v>
      </c>
      <c r="G24" s="1">
        <v>500000</v>
      </c>
      <c r="H24" s="1">
        <v>502645</v>
      </c>
      <c r="I24" s="1">
        <v>109319</v>
      </c>
      <c r="J24" s="1">
        <v>-340396</v>
      </c>
      <c r="K24" s="1">
        <v>413335</v>
      </c>
      <c r="L24" s="1">
        <v>30000</v>
      </c>
      <c r="M24" s="1">
        <v>-1149</v>
      </c>
      <c r="N24" s="1">
        <v>-318621</v>
      </c>
      <c r="O24" s="1">
        <v>28809764</v>
      </c>
      <c r="P24" s="1">
        <v>-2619375</v>
      </c>
      <c r="Q24" s="1">
        <v>-3368647</v>
      </c>
      <c r="R24" s="1">
        <v>-4489000</v>
      </c>
      <c r="S24" s="1">
        <v>-3139000</v>
      </c>
      <c r="T24" s="1">
        <v>-4177000</v>
      </c>
      <c r="U24" s="1">
        <v>-7067000</v>
      </c>
      <c r="V24" s="1">
        <v>-1962000</v>
      </c>
      <c r="W24" s="1">
        <v>-6725000</v>
      </c>
      <c r="X24" s="1">
        <v>-7851000</v>
      </c>
      <c r="Y24" s="1">
        <v>-8498000</v>
      </c>
      <c r="Z24" s="1">
        <v>-9720000</v>
      </c>
      <c r="AA24" s="1">
        <v>-10512000</v>
      </c>
      <c r="AB24" s="1">
        <v>-9551000</v>
      </c>
      <c r="AC24" s="1">
        <v>-4409000</v>
      </c>
      <c r="AD24" s="1">
        <v>-11328000</v>
      </c>
    </row>
    <row r="25" spans="1:39" ht="19" x14ac:dyDescent="0.25">
      <c r="A25" s="6" t="s">
        <v>19</v>
      </c>
      <c r="B25" s="10">
        <v>300000</v>
      </c>
      <c r="C25" s="10">
        <v>600000</v>
      </c>
      <c r="D25" s="10">
        <v>-900000</v>
      </c>
      <c r="E25" s="10">
        <v>-1200000</v>
      </c>
      <c r="F25" s="10" t="s">
        <v>91</v>
      </c>
      <c r="G25" s="10" t="s">
        <v>91</v>
      </c>
      <c r="H25" s="10" t="s">
        <v>91</v>
      </c>
      <c r="I25" s="10" t="s">
        <v>91</v>
      </c>
      <c r="J25" s="10" t="s">
        <v>91</v>
      </c>
      <c r="K25" s="10" t="s">
        <v>91</v>
      </c>
      <c r="L25" s="10" t="s">
        <v>91</v>
      </c>
      <c r="M25" s="10" t="s">
        <v>91</v>
      </c>
      <c r="N25" s="10" t="s">
        <v>91</v>
      </c>
      <c r="O25" s="10">
        <v>32913450</v>
      </c>
      <c r="P25" s="10">
        <v>11100645</v>
      </c>
      <c r="Q25" s="10">
        <v>10043335</v>
      </c>
      <c r="R25" s="10">
        <v>-10862000</v>
      </c>
      <c r="S25" s="10">
        <v>15655000</v>
      </c>
      <c r="T25" s="10">
        <v>12336000</v>
      </c>
      <c r="U25" s="10">
        <v>15046000</v>
      </c>
      <c r="V25" s="10">
        <v>16913000</v>
      </c>
      <c r="W25" s="10">
        <v>14153000</v>
      </c>
      <c r="X25" s="10">
        <v>12997000</v>
      </c>
      <c r="Y25" s="10">
        <v>14641000</v>
      </c>
      <c r="Z25" s="10">
        <v>18676000</v>
      </c>
      <c r="AA25" s="10">
        <v>24189000</v>
      </c>
      <c r="AB25" s="10">
        <v>-6805000</v>
      </c>
      <c r="AC25" s="10">
        <v>34139000</v>
      </c>
      <c r="AD25" s="10">
        <v>60131000</v>
      </c>
    </row>
    <row r="26" spans="1:39" ht="19" x14ac:dyDescent="0.25">
      <c r="A26" s="5" t="s">
        <v>20</v>
      </c>
      <c r="B26" s="2">
        <v>6.5199999999999994E-2</v>
      </c>
      <c r="C26" s="2">
        <v>0.1333</v>
      </c>
      <c r="D26" s="2">
        <v>-0.19570000000000001</v>
      </c>
      <c r="E26" s="2">
        <v>-0.1905</v>
      </c>
      <c r="F26" s="2" t="s">
        <v>91</v>
      </c>
      <c r="G26" s="2" t="s">
        <v>91</v>
      </c>
      <c r="H26" s="2" t="s">
        <v>91</v>
      </c>
      <c r="I26" s="2" t="s">
        <v>91</v>
      </c>
      <c r="J26" s="2" t="s">
        <v>91</v>
      </c>
      <c r="K26" s="2" t="s">
        <v>91</v>
      </c>
      <c r="L26" s="2" t="s">
        <v>91</v>
      </c>
      <c r="M26" s="2" t="s">
        <v>91</v>
      </c>
      <c r="N26" s="2" t="s">
        <v>91</v>
      </c>
      <c r="O26" s="2">
        <v>1.0281</v>
      </c>
      <c r="P26" s="2">
        <v>0.1852</v>
      </c>
      <c r="Q26" s="2">
        <v>0.1336</v>
      </c>
      <c r="R26" s="2">
        <v>-0.13089999999999999</v>
      </c>
      <c r="S26" s="2">
        <v>0.1875</v>
      </c>
      <c r="T26" s="2">
        <v>0.12959999999999999</v>
      </c>
      <c r="U26" s="2">
        <v>0.1341</v>
      </c>
      <c r="V26" s="2">
        <v>0.13089999999999999</v>
      </c>
      <c r="W26" s="2">
        <v>9.7799999999999998E-2</v>
      </c>
      <c r="X26" s="2">
        <v>9.64E-2</v>
      </c>
      <c r="Y26" s="2">
        <v>0.10100000000000001</v>
      </c>
      <c r="Z26" s="2">
        <v>0.11269999999999999</v>
      </c>
      <c r="AA26" s="2">
        <v>0.1336</v>
      </c>
      <c r="AB26" s="2">
        <v>-5.1400000000000001E-2</v>
      </c>
      <c r="AC26" s="2">
        <v>0.17480000000000001</v>
      </c>
      <c r="AD26" s="2">
        <v>0.22470000000000001</v>
      </c>
    </row>
    <row r="27" spans="1:39" ht="19" x14ac:dyDescent="0.25">
      <c r="A27" s="5" t="s">
        <v>21</v>
      </c>
      <c r="B27" s="1">
        <v>100000</v>
      </c>
      <c r="C27" s="1">
        <v>200000</v>
      </c>
      <c r="D27" s="1">
        <v>-200000</v>
      </c>
      <c r="E27" s="1">
        <v>-100000</v>
      </c>
      <c r="F27" s="1" t="s">
        <v>91</v>
      </c>
      <c r="G27" s="1" t="s">
        <v>91</v>
      </c>
      <c r="H27" s="1" t="s">
        <v>91</v>
      </c>
      <c r="I27" s="1" t="s">
        <v>91</v>
      </c>
      <c r="J27" s="1" t="s">
        <v>91</v>
      </c>
      <c r="K27" s="1" t="s">
        <v>91</v>
      </c>
      <c r="L27" s="1" t="s">
        <v>91</v>
      </c>
      <c r="M27" s="1" t="s">
        <v>91</v>
      </c>
      <c r="N27" s="1" t="s">
        <v>91</v>
      </c>
      <c r="O27" s="1">
        <v>236446</v>
      </c>
      <c r="P27" s="1">
        <v>3439978</v>
      </c>
      <c r="Q27" s="1">
        <v>3414734</v>
      </c>
      <c r="R27" s="1">
        <v>-3221000</v>
      </c>
      <c r="S27" s="1">
        <v>5403000</v>
      </c>
      <c r="T27" s="1">
        <v>4374000</v>
      </c>
      <c r="U27" s="1">
        <v>5501000</v>
      </c>
      <c r="V27" s="1">
        <v>5916000</v>
      </c>
      <c r="W27" s="1">
        <v>5164000</v>
      </c>
      <c r="X27" s="1">
        <v>2657000</v>
      </c>
      <c r="Y27" s="1">
        <v>6359000</v>
      </c>
      <c r="Z27" s="1">
        <v>-3118000</v>
      </c>
      <c r="AA27" s="1">
        <v>4863000</v>
      </c>
      <c r="AB27" s="1">
        <v>-493000</v>
      </c>
      <c r="AC27" s="1">
        <v>3989000</v>
      </c>
      <c r="AD27" s="1">
        <v>14071000</v>
      </c>
    </row>
    <row r="28" spans="1:39" ht="20" thickBot="1" x14ac:dyDescent="0.3">
      <c r="A28" s="7" t="s">
        <v>22</v>
      </c>
      <c r="B28" s="11">
        <v>200000</v>
      </c>
      <c r="C28" s="11">
        <v>400000</v>
      </c>
      <c r="D28" s="11">
        <v>-700000</v>
      </c>
      <c r="E28" s="11">
        <v>-1300000</v>
      </c>
      <c r="F28" s="11">
        <v>-600000</v>
      </c>
      <c r="G28" s="11" t="s">
        <v>91</v>
      </c>
      <c r="H28" s="11">
        <v>202587</v>
      </c>
      <c r="I28" s="11">
        <v>1314718</v>
      </c>
      <c r="J28" s="11">
        <v>-2271180</v>
      </c>
      <c r="K28" s="11">
        <v>438294</v>
      </c>
      <c r="L28" s="11">
        <v>775253</v>
      </c>
      <c r="M28" s="11">
        <v>-215148</v>
      </c>
      <c r="N28" s="11">
        <v>1752714</v>
      </c>
      <c r="O28" s="11">
        <v>3054899</v>
      </c>
      <c r="P28" s="11">
        <v>7660667</v>
      </c>
      <c r="Q28" s="11">
        <v>5208097</v>
      </c>
      <c r="R28" s="11">
        <v>-7958000</v>
      </c>
      <c r="S28" s="11">
        <v>7846000</v>
      </c>
      <c r="T28" s="11">
        <v>7578000</v>
      </c>
      <c r="U28" s="11">
        <v>9191000</v>
      </c>
      <c r="V28" s="11">
        <v>11240000</v>
      </c>
      <c r="W28" s="11">
        <v>9312000</v>
      </c>
      <c r="X28" s="11">
        <v>11089000</v>
      </c>
      <c r="Y28" s="11">
        <v>8259000</v>
      </c>
      <c r="Z28" s="11">
        <v>21713000</v>
      </c>
      <c r="AA28" s="11">
        <v>19175000</v>
      </c>
      <c r="AB28" s="11">
        <v>-6085000</v>
      </c>
      <c r="AC28" s="11">
        <v>30336000</v>
      </c>
      <c r="AD28" s="11">
        <v>46041000</v>
      </c>
      <c r="AE28" s="44">
        <v>48773000</v>
      </c>
      <c r="AF28" s="44">
        <v>62616000</v>
      </c>
      <c r="AG28" s="44">
        <v>37029000</v>
      </c>
      <c r="AH28" s="44">
        <v>39600000</v>
      </c>
      <c r="AI28" s="44">
        <v>42236000</v>
      </c>
    </row>
    <row r="29" spans="1:39" ht="20" customHeight="1" thickTop="1" x14ac:dyDescent="0.25">
      <c r="A29" s="14" t="s">
        <v>101</v>
      </c>
      <c r="B29" s="1"/>
      <c r="C29" s="19">
        <f>(C28/B28)-1</f>
        <v>1</v>
      </c>
      <c r="D29" s="19">
        <f>(D28/C28)-1</f>
        <v>-2.75</v>
      </c>
      <c r="E29" s="19">
        <f>(E28/D28)-1</f>
        <v>0.85714285714285721</v>
      </c>
      <c r="F29" s="19">
        <f t="shared" ref="F29:AI29" si="5">(F28/E28)-1</f>
        <v>-0.53846153846153844</v>
      </c>
      <c r="G29" s="19" t="e">
        <f t="shared" si="5"/>
        <v>#VALUE!</v>
      </c>
      <c r="H29" s="19" t="e">
        <f t="shared" si="5"/>
        <v>#VALUE!</v>
      </c>
      <c r="I29" s="19">
        <f t="shared" si="5"/>
        <v>5.489646423511874</v>
      </c>
      <c r="J29" s="19">
        <f t="shared" si="5"/>
        <v>-2.7275035406832489</v>
      </c>
      <c r="K29" s="19">
        <f t="shared" si="5"/>
        <v>-1.1929807412886693</v>
      </c>
      <c r="L29" s="19">
        <f t="shared" si="5"/>
        <v>0.76879674373822127</v>
      </c>
      <c r="M29" s="19">
        <f t="shared" si="5"/>
        <v>-1.2775197258185393</v>
      </c>
      <c r="N29" s="19">
        <f t="shared" si="5"/>
        <v>-9.146550281666574</v>
      </c>
      <c r="O29" s="19">
        <f t="shared" si="5"/>
        <v>0.74295349954413559</v>
      </c>
      <c r="P29" s="19">
        <f t="shared" si="5"/>
        <v>1.5076662108960068</v>
      </c>
      <c r="Q29" s="19">
        <f t="shared" si="5"/>
        <v>-0.3201509737990178</v>
      </c>
      <c r="R29" s="19">
        <f t="shared" si="5"/>
        <v>-2.5280053347700706</v>
      </c>
      <c r="S29" s="19">
        <f t="shared" si="5"/>
        <v>-1.9859261120884644</v>
      </c>
      <c r="T29" s="19">
        <f t="shared" si="5"/>
        <v>-3.4157532500637244E-2</v>
      </c>
      <c r="U29" s="19">
        <f t="shared" si="5"/>
        <v>0.21285299551332804</v>
      </c>
      <c r="V29" s="19">
        <f t="shared" si="5"/>
        <v>0.2229354803612229</v>
      </c>
      <c r="W29" s="19">
        <f t="shared" si="5"/>
        <v>-0.17153024911032033</v>
      </c>
      <c r="X29" s="19">
        <f t="shared" si="5"/>
        <v>0.19082903780068738</v>
      </c>
      <c r="Y29" s="19">
        <f t="shared" si="5"/>
        <v>-0.25520786364866088</v>
      </c>
      <c r="Z29" s="19">
        <f t="shared" si="5"/>
        <v>1.6290107761230175</v>
      </c>
      <c r="AA29" s="19">
        <f t="shared" si="5"/>
        <v>-0.11688849997697237</v>
      </c>
      <c r="AB29" s="19">
        <f t="shared" si="5"/>
        <v>-1.3173402868318123</v>
      </c>
      <c r="AC29" s="19">
        <f t="shared" si="5"/>
        <v>-5.9853738701725554</v>
      </c>
      <c r="AD29" s="19">
        <f t="shared" si="5"/>
        <v>0.51770174050632911</v>
      </c>
      <c r="AE29" s="17">
        <f t="shared" si="5"/>
        <v>5.9338415759866203E-2</v>
      </c>
      <c r="AF29" s="17">
        <f t="shared" si="5"/>
        <v>0.28382506714780709</v>
      </c>
      <c r="AG29" s="17">
        <f t="shared" si="5"/>
        <v>-0.40863357608279038</v>
      </c>
      <c r="AH29" s="17">
        <f t="shared" si="5"/>
        <v>6.9432066758486677E-2</v>
      </c>
      <c r="AI29" s="17">
        <f t="shared" si="5"/>
        <v>6.6565656565656495E-2</v>
      </c>
    </row>
    <row r="30" spans="1:39" ht="19" x14ac:dyDescent="0.25">
      <c r="A30" s="5" t="s">
        <v>23</v>
      </c>
      <c r="B30" s="2">
        <v>4.3499999999999997E-2</v>
      </c>
      <c r="C30" s="2">
        <v>8.8900000000000007E-2</v>
      </c>
      <c r="D30" s="2">
        <v>-0.1522</v>
      </c>
      <c r="E30" s="2">
        <v>-0.20630000000000001</v>
      </c>
      <c r="F30" s="2">
        <v>-7.6899999999999996E-2</v>
      </c>
      <c r="G30" s="2" t="s">
        <v>91</v>
      </c>
      <c r="H30" s="2">
        <v>1.5900000000000001E-2</v>
      </c>
      <c r="I30" s="2">
        <v>6.6900000000000001E-2</v>
      </c>
      <c r="J30" s="2">
        <v>-0.14599999999999999</v>
      </c>
      <c r="K30" s="2">
        <v>2.9100000000000001E-2</v>
      </c>
      <c r="L30" s="2">
        <v>4.8599999999999997E-2</v>
      </c>
      <c r="M30" s="2">
        <v>-1.4500000000000001E-2</v>
      </c>
      <c r="N30" s="2">
        <v>7.1599999999999997E-2</v>
      </c>
      <c r="O30" s="2">
        <v>9.5399999999999999E-2</v>
      </c>
      <c r="P30" s="2">
        <v>0.1278</v>
      </c>
      <c r="Q30" s="2">
        <v>6.93E-2</v>
      </c>
      <c r="R30" s="2">
        <v>-9.5899999999999999E-2</v>
      </c>
      <c r="S30" s="2">
        <v>9.4E-2</v>
      </c>
      <c r="T30" s="2">
        <v>7.9600000000000004E-2</v>
      </c>
      <c r="U30" s="2">
        <v>8.1900000000000001E-2</v>
      </c>
      <c r="V30" s="2">
        <v>8.6999999999999994E-2</v>
      </c>
      <c r="W30" s="2">
        <v>6.4399999999999999E-2</v>
      </c>
      <c r="X30" s="2">
        <v>8.2199999999999995E-2</v>
      </c>
      <c r="Y30" s="2">
        <v>5.7000000000000002E-2</v>
      </c>
      <c r="Z30" s="2">
        <v>0.13100000000000001</v>
      </c>
      <c r="AA30" s="2">
        <v>0.10589999999999999</v>
      </c>
      <c r="AB30" s="2">
        <v>-4.5999999999999999E-2</v>
      </c>
      <c r="AC30" s="2">
        <v>0.15540000000000001</v>
      </c>
      <c r="AD30" s="2">
        <v>0.17199999999999999</v>
      </c>
      <c r="AE30" s="45">
        <f>AE28/AE3</f>
        <v>0.16123305785123968</v>
      </c>
      <c r="AF30" s="45">
        <f t="shared" ref="AF30:AI30" si="6">AF28/AF3</f>
        <v>0.17890285714285714</v>
      </c>
      <c r="AG30" s="45">
        <f t="shared" si="6"/>
        <v>0.13658797491700481</v>
      </c>
      <c r="AH30" s="45">
        <f t="shared" si="6"/>
        <v>0.13655172413793104</v>
      </c>
      <c r="AI30" s="45">
        <f t="shared" si="6"/>
        <v>0.13757654723127036</v>
      </c>
    </row>
    <row r="31" spans="1:39" ht="19" x14ac:dyDescent="0.25">
      <c r="A31" s="5" t="s">
        <v>24</v>
      </c>
      <c r="B31" s="12">
        <v>0.22</v>
      </c>
      <c r="C31" s="12">
        <v>0.4</v>
      </c>
      <c r="D31" s="12">
        <v>-0.4</v>
      </c>
      <c r="E31" s="12">
        <v>-0.66</v>
      </c>
      <c r="F31" s="12">
        <v>-0.28000000000000003</v>
      </c>
      <c r="G31" s="12">
        <v>-0.01</v>
      </c>
      <c r="H31" s="12">
        <v>0.05</v>
      </c>
      <c r="I31" s="12">
        <v>0.3</v>
      </c>
      <c r="J31" s="12">
        <v>-0.54</v>
      </c>
      <c r="K31" s="12">
        <v>0.12</v>
      </c>
      <c r="L31" s="12">
        <v>0.21</v>
      </c>
      <c r="M31" s="12">
        <v>-0.05</v>
      </c>
      <c r="N31" s="12">
        <v>0.38</v>
      </c>
      <c r="O31" s="12">
        <v>0.54</v>
      </c>
      <c r="P31" s="12">
        <v>0.97</v>
      </c>
      <c r="Q31" s="12">
        <v>0.56000000000000005</v>
      </c>
      <c r="R31" s="12">
        <v>-0.82</v>
      </c>
      <c r="S31" s="12">
        <v>0.79</v>
      </c>
      <c r="T31" s="12">
        <v>0.78</v>
      </c>
      <c r="U31" s="12">
        <v>0.97</v>
      </c>
      <c r="V31" s="12">
        <v>1.1499999999999999</v>
      </c>
      <c r="W31" s="12">
        <v>0.9</v>
      </c>
      <c r="X31" s="12">
        <v>1.1200000000000001</v>
      </c>
      <c r="Y31" s="12">
        <v>0.85</v>
      </c>
      <c r="Z31" s="12">
        <v>2.23</v>
      </c>
      <c r="AA31" s="12">
        <v>1.99</v>
      </c>
      <c r="AB31" s="12">
        <v>-0.66</v>
      </c>
      <c r="AC31" s="12">
        <v>3.37</v>
      </c>
      <c r="AD31" s="12">
        <v>4.91</v>
      </c>
      <c r="AE31" s="46">
        <v>5.17</v>
      </c>
      <c r="AF31" s="46">
        <v>6.64</v>
      </c>
      <c r="AG31" s="46">
        <v>3.93</v>
      </c>
      <c r="AH31" s="46">
        <v>4.2</v>
      </c>
      <c r="AI31" s="46">
        <v>4.4800000000000004</v>
      </c>
    </row>
    <row r="32" spans="1:39" ht="19" x14ac:dyDescent="0.25">
      <c r="A32" s="5" t="s">
        <v>25</v>
      </c>
      <c r="B32" s="12">
        <v>0.22</v>
      </c>
      <c r="C32" s="12">
        <v>0.4</v>
      </c>
      <c r="D32" s="12">
        <v>-0.4</v>
      </c>
      <c r="E32" s="12">
        <v>-0.66</v>
      </c>
      <c r="F32" s="12">
        <v>-0.28000000000000003</v>
      </c>
      <c r="G32" s="12">
        <v>-0.01</v>
      </c>
      <c r="H32" s="12">
        <v>0.05</v>
      </c>
      <c r="I32" s="12">
        <v>0.3</v>
      </c>
      <c r="J32" s="12">
        <v>-0.54</v>
      </c>
      <c r="K32" s="12">
        <v>0.12</v>
      </c>
      <c r="L32" s="12">
        <v>0.21</v>
      </c>
      <c r="M32" s="12">
        <v>-0.05</v>
      </c>
      <c r="N32" s="12">
        <v>0.35</v>
      </c>
      <c r="O32" s="12">
        <v>0.5</v>
      </c>
      <c r="P32" s="12">
        <v>0.91</v>
      </c>
      <c r="Q32" s="12">
        <v>0.55000000000000004</v>
      </c>
      <c r="R32" s="12">
        <v>-0.82</v>
      </c>
      <c r="S32" s="12">
        <v>0.79</v>
      </c>
      <c r="T32" s="12">
        <v>0.78</v>
      </c>
      <c r="U32" s="12">
        <v>0.96</v>
      </c>
      <c r="V32" s="12">
        <v>1.1299999999999999</v>
      </c>
      <c r="W32" s="12">
        <v>0.9</v>
      </c>
      <c r="X32" s="12">
        <v>1.1000000000000001</v>
      </c>
      <c r="Y32" s="12">
        <v>0.85</v>
      </c>
      <c r="Z32" s="12">
        <v>2.23</v>
      </c>
      <c r="AA32" s="12">
        <v>1.99</v>
      </c>
      <c r="AB32" s="12">
        <v>-0.66</v>
      </c>
      <c r="AC32" s="12">
        <v>3.37</v>
      </c>
      <c r="AD32" s="12">
        <v>4.91</v>
      </c>
    </row>
    <row r="33" spans="1:30" ht="19" x14ac:dyDescent="0.25">
      <c r="A33" s="5" t="s">
        <v>26</v>
      </c>
      <c r="B33" s="1">
        <v>909091</v>
      </c>
      <c r="C33" s="1">
        <v>1000000</v>
      </c>
      <c r="D33" s="1">
        <v>1767540</v>
      </c>
      <c r="E33" s="1">
        <v>2057461</v>
      </c>
      <c r="F33" s="1">
        <v>2169017</v>
      </c>
      <c r="G33" s="1">
        <v>3355969</v>
      </c>
      <c r="H33" s="1">
        <v>4198735</v>
      </c>
      <c r="I33" s="1">
        <v>4411178</v>
      </c>
      <c r="J33" s="1">
        <v>4241483</v>
      </c>
      <c r="K33" s="1">
        <v>3729167</v>
      </c>
      <c r="L33" s="1">
        <v>3700148</v>
      </c>
      <c r="M33" s="1">
        <v>3937565</v>
      </c>
      <c r="N33" s="1">
        <v>4640499</v>
      </c>
      <c r="O33" s="1">
        <v>5700548</v>
      </c>
      <c r="P33" s="1">
        <v>7931121</v>
      </c>
      <c r="Q33" s="1">
        <v>9265784</v>
      </c>
      <c r="R33" s="1">
        <v>9697000</v>
      </c>
      <c r="S33" s="1">
        <v>9930000</v>
      </c>
      <c r="T33" s="1">
        <v>9691000</v>
      </c>
      <c r="U33" s="1">
        <v>9518000</v>
      </c>
      <c r="V33" s="1">
        <v>9816000</v>
      </c>
      <c r="W33" s="1">
        <v>10359000</v>
      </c>
      <c r="X33" s="1">
        <v>9941000</v>
      </c>
      <c r="Y33" s="1">
        <v>9731000</v>
      </c>
      <c r="Z33" s="1">
        <v>9719000</v>
      </c>
      <c r="AA33" s="1">
        <v>9657000</v>
      </c>
      <c r="AB33" s="1">
        <v>9199000</v>
      </c>
      <c r="AC33" s="1">
        <v>9005000</v>
      </c>
      <c r="AD33" s="1">
        <v>9383445</v>
      </c>
    </row>
    <row r="34" spans="1:30" ht="19" x14ac:dyDescent="0.25">
      <c r="A34" s="5" t="s">
        <v>27</v>
      </c>
      <c r="B34" s="1">
        <v>909091</v>
      </c>
      <c r="C34" s="1">
        <v>1000000</v>
      </c>
      <c r="D34" s="1">
        <v>2000000</v>
      </c>
      <c r="E34" s="1">
        <v>2333333</v>
      </c>
      <c r="F34" s="1">
        <v>2169017</v>
      </c>
      <c r="G34" s="1">
        <v>3571429</v>
      </c>
      <c r="H34" s="1">
        <v>4198735</v>
      </c>
      <c r="I34" s="1">
        <v>4411178</v>
      </c>
      <c r="J34" s="1">
        <v>4241483</v>
      </c>
      <c r="K34" s="1">
        <v>3729167</v>
      </c>
      <c r="L34" s="1">
        <v>3700148</v>
      </c>
      <c r="M34" s="1">
        <v>3938960</v>
      </c>
      <c r="N34" s="1">
        <v>5065962</v>
      </c>
      <c r="O34" s="1">
        <v>6215285</v>
      </c>
      <c r="P34" s="1">
        <v>8413183</v>
      </c>
      <c r="Q34" s="1">
        <v>9427397</v>
      </c>
      <c r="R34" s="1">
        <v>9697000</v>
      </c>
      <c r="S34" s="1">
        <v>9932000</v>
      </c>
      <c r="T34" s="1">
        <v>9697000</v>
      </c>
      <c r="U34" s="1">
        <v>9615000</v>
      </c>
      <c r="V34" s="1">
        <v>10637000</v>
      </c>
      <c r="W34" s="1">
        <v>10406000</v>
      </c>
      <c r="X34" s="1">
        <v>10229000</v>
      </c>
      <c r="Y34" s="1">
        <v>9743000</v>
      </c>
      <c r="Z34" s="1">
        <v>9719000</v>
      </c>
      <c r="AA34" s="1">
        <v>9657000</v>
      </c>
      <c r="AB34" s="1">
        <v>9199000</v>
      </c>
      <c r="AC34" s="1">
        <v>9005000</v>
      </c>
      <c r="AD34" s="1">
        <v>9383445</v>
      </c>
    </row>
    <row r="35" spans="1:30" ht="20" customHeight="1" x14ac:dyDescent="0.25">
      <c r="A35" s="14" t="s">
        <v>102</v>
      </c>
      <c r="B35" s="1"/>
      <c r="C35" s="24">
        <f>(C34-B34)/B34</f>
        <v>9.9999890000010999E-2</v>
      </c>
      <c r="D35" s="24">
        <f t="shared" ref="D35:AD35" si="7">(D34-C34)/C34</f>
        <v>1</v>
      </c>
      <c r="E35" s="24">
        <f t="shared" si="7"/>
        <v>0.1666665</v>
      </c>
      <c r="F35" s="24">
        <f t="shared" si="7"/>
        <v>-7.0421152917307564E-2</v>
      </c>
      <c r="G35" s="24">
        <f t="shared" si="7"/>
        <v>0.64656570234350397</v>
      </c>
      <c r="H35" s="24">
        <f t="shared" si="7"/>
        <v>0.17564565892252093</v>
      </c>
      <c r="I35" s="24">
        <f t="shared" si="7"/>
        <v>5.05969059728704E-2</v>
      </c>
      <c r="J35" s="24">
        <f t="shared" si="7"/>
        <v>-3.8469315906091296E-2</v>
      </c>
      <c r="K35" s="24">
        <f t="shared" si="7"/>
        <v>-0.12078699832110608</v>
      </c>
      <c r="L35" s="24">
        <f t="shared" si="7"/>
        <v>-7.781630589351456E-3</v>
      </c>
      <c r="M35" s="24">
        <f t="shared" si="7"/>
        <v>6.4541202135698361E-2</v>
      </c>
      <c r="N35" s="24">
        <f t="shared" si="7"/>
        <v>0.28611663992525949</v>
      </c>
      <c r="O35" s="24">
        <f t="shared" si="7"/>
        <v>0.22687161885541188</v>
      </c>
      <c r="P35" s="24">
        <f t="shared" si="7"/>
        <v>0.35362787064470896</v>
      </c>
      <c r="Q35" s="24">
        <f t="shared" si="7"/>
        <v>0.12055056926730347</v>
      </c>
      <c r="R35" s="24">
        <f t="shared" si="7"/>
        <v>2.8597819737516093E-2</v>
      </c>
      <c r="S35" s="24">
        <f t="shared" si="7"/>
        <v>2.4234299267814789E-2</v>
      </c>
      <c r="T35" s="24">
        <f t="shared" si="7"/>
        <v>-2.3660894079742246E-2</v>
      </c>
      <c r="U35" s="24">
        <f t="shared" si="7"/>
        <v>-8.456223574301331E-3</v>
      </c>
      <c r="V35" s="24">
        <f t="shared" si="7"/>
        <v>0.1062922516900676</v>
      </c>
      <c r="W35" s="24">
        <f t="shared" si="7"/>
        <v>-2.1716649431230611E-2</v>
      </c>
      <c r="X35" s="24">
        <f t="shared" si="7"/>
        <v>-1.7009417643667115E-2</v>
      </c>
      <c r="Y35" s="24">
        <f t="shared" si="7"/>
        <v>-4.7511975755205785E-2</v>
      </c>
      <c r="Z35" s="24">
        <f t="shared" si="7"/>
        <v>-2.4633069896335832E-3</v>
      </c>
      <c r="AA35" s="24">
        <f t="shared" si="7"/>
        <v>-6.3792571252186438E-3</v>
      </c>
      <c r="AB35" s="24">
        <f t="shared" si="7"/>
        <v>-4.7426737081909497E-2</v>
      </c>
      <c r="AC35" s="24">
        <f t="shared" si="7"/>
        <v>-2.1089248831394718E-2</v>
      </c>
      <c r="AD35" s="24">
        <f t="shared" si="7"/>
        <v>4.202609661299278E-2</v>
      </c>
    </row>
    <row r="36" spans="1:30"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row>
    <row r="37" spans="1:30"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row>
    <row r="38" spans="1:30" ht="19" x14ac:dyDescent="0.25">
      <c r="A38" s="5" t="s">
        <v>30</v>
      </c>
      <c r="B38" s="1">
        <v>100000</v>
      </c>
      <c r="C38" s="1">
        <v>200000</v>
      </c>
      <c r="D38" s="1">
        <v>3200000</v>
      </c>
      <c r="E38" s="1">
        <v>400000</v>
      </c>
      <c r="F38" s="1">
        <v>600000</v>
      </c>
      <c r="G38" s="1">
        <v>400000</v>
      </c>
      <c r="H38" s="1">
        <v>374532</v>
      </c>
      <c r="I38" s="1">
        <v>704628</v>
      </c>
      <c r="J38" s="1">
        <v>733366</v>
      </c>
      <c r="K38" s="1">
        <v>604865</v>
      </c>
      <c r="L38" s="1">
        <v>278185</v>
      </c>
      <c r="M38" s="1">
        <v>480330</v>
      </c>
      <c r="N38" s="1">
        <v>854932</v>
      </c>
      <c r="O38" s="1">
        <v>2998758</v>
      </c>
      <c r="P38" s="1">
        <v>5602645</v>
      </c>
      <c r="Q38" s="1">
        <v>12751423</v>
      </c>
      <c r="R38" s="1">
        <v>19168000</v>
      </c>
      <c r="S38" s="1">
        <v>9698000</v>
      </c>
      <c r="T38" s="1">
        <v>5520000</v>
      </c>
      <c r="U38" s="1">
        <v>10656000</v>
      </c>
      <c r="V38" s="1">
        <v>9964000</v>
      </c>
      <c r="W38" s="1">
        <v>8020000</v>
      </c>
      <c r="X38" s="1">
        <v>11327000</v>
      </c>
      <c r="Y38" s="1">
        <v>9922000</v>
      </c>
      <c r="Z38" s="1">
        <v>17726000</v>
      </c>
      <c r="AA38" s="1">
        <v>14097000</v>
      </c>
      <c r="AB38" s="1">
        <v>15605000</v>
      </c>
      <c r="AC38" s="1">
        <v>35686000</v>
      </c>
      <c r="AD38" s="1">
        <v>35980000</v>
      </c>
    </row>
    <row r="39" spans="1:30" ht="19" x14ac:dyDescent="0.25">
      <c r="A39" s="5" t="s">
        <v>31</v>
      </c>
      <c r="B39" s="1" t="s">
        <v>91</v>
      </c>
      <c r="C39" s="1" t="s">
        <v>91</v>
      </c>
      <c r="D39" s="1" t="s">
        <v>91</v>
      </c>
      <c r="E39" s="1" t="s">
        <v>91</v>
      </c>
      <c r="F39" s="1" t="s">
        <v>91</v>
      </c>
      <c r="G39" s="1" t="s">
        <v>91</v>
      </c>
      <c r="H39" s="1" t="s">
        <v>91</v>
      </c>
      <c r="I39" s="1" t="s">
        <v>91</v>
      </c>
      <c r="J39" s="1" t="s">
        <v>91</v>
      </c>
      <c r="K39" s="1">
        <v>135000</v>
      </c>
      <c r="L39" s="1">
        <v>122350</v>
      </c>
      <c r="M39" s="1">
        <v>28919</v>
      </c>
      <c r="N39" s="1">
        <v>22245</v>
      </c>
      <c r="O39" s="1">
        <v>33368</v>
      </c>
      <c r="P39" s="1" t="s">
        <v>91</v>
      </c>
      <c r="Q39" s="1" t="s">
        <v>91</v>
      </c>
      <c r="R39" s="1" t="s">
        <v>91</v>
      </c>
      <c r="S39" s="1">
        <v>515000</v>
      </c>
      <c r="T39" s="1">
        <v>1059000</v>
      </c>
      <c r="U39" s="1">
        <v>555000</v>
      </c>
      <c r="V39" s="1">
        <v>596000</v>
      </c>
      <c r="W39" s="1">
        <v>614000</v>
      </c>
      <c r="X39" s="1" t="s">
        <v>91</v>
      </c>
      <c r="Y39" s="1" t="s">
        <v>91</v>
      </c>
      <c r="Z39" s="1" t="s">
        <v>91</v>
      </c>
      <c r="AA39" s="1" t="s">
        <v>91</v>
      </c>
      <c r="AB39" s="1" t="s">
        <v>91</v>
      </c>
      <c r="AC39" s="1" t="s">
        <v>91</v>
      </c>
      <c r="AD39" s="1" t="s">
        <v>91</v>
      </c>
    </row>
    <row r="40" spans="1:30" ht="19" x14ac:dyDescent="0.25">
      <c r="A40" s="5" t="s">
        <v>32</v>
      </c>
      <c r="B40" s="1">
        <v>100000</v>
      </c>
      <c r="C40" s="1">
        <v>200000</v>
      </c>
      <c r="D40" s="1">
        <v>3200000</v>
      </c>
      <c r="E40" s="1">
        <v>400000</v>
      </c>
      <c r="F40" s="1">
        <v>600000</v>
      </c>
      <c r="G40" s="1">
        <v>400000</v>
      </c>
      <c r="H40" s="1">
        <v>374532</v>
      </c>
      <c r="I40" s="1">
        <v>704628</v>
      </c>
      <c r="J40" s="1">
        <v>733366</v>
      </c>
      <c r="K40" s="1">
        <v>739865</v>
      </c>
      <c r="L40" s="1">
        <v>400535</v>
      </c>
      <c r="M40" s="1">
        <v>509249</v>
      </c>
      <c r="N40" s="1">
        <v>877177</v>
      </c>
      <c r="O40" s="1">
        <v>3032126</v>
      </c>
      <c r="P40" s="1">
        <v>5602645</v>
      </c>
      <c r="Q40" s="1">
        <v>12751423</v>
      </c>
      <c r="R40" s="1">
        <v>19168000</v>
      </c>
      <c r="S40" s="1">
        <v>10213000</v>
      </c>
      <c r="T40" s="1">
        <v>6579000</v>
      </c>
      <c r="U40" s="1">
        <v>11211000</v>
      </c>
      <c r="V40" s="1">
        <v>10560000</v>
      </c>
      <c r="W40" s="1">
        <v>8634000</v>
      </c>
      <c r="X40" s="1">
        <v>11327000</v>
      </c>
      <c r="Y40" s="1">
        <v>9922000</v>
      </c>
      <c r="Z40" s="1">
        <v>17726000</v>
      </c>
      <c r="AA40" s="1">
        <v>14097000</v>
      </c>
      <c r="AB40" s="1">
        <v>15605000</v>
      </c>
      <c r="AC40" s="1">
        <v>35686000</v>
      </c>
      <c r="AD40" s="1">
        <v>35980000</v>
      </c>
    </row>
    <row r="41" spans="1:30" ht="19" x14ac:dyDescent="0.25">
      <c r="A41" s="5" t="s">
        <v>33</v>
      </c>
      <c r="B41" s="1" t="s">
        <v>91</v>
      </c>
      <c r="C41" s="1" t="s">
        <v>91</v>
      </c>
      <c r="D41" s="1">
        <v>100000</v>
      </c>
      <c r="E41" s="1" t="s">
        <v>91</v>
      </c>
      <c r="F41" s="1">
        <v>100000</v>
      </c>
      <c r="G41" s="1">
        <v>200000</v>
      </c>
      <c r="H41" s="1">
        <v>297761</v>
      </c>
      <c r="I41" s="1">
        <v>379653</v>
      </c>
      <c r="J41" s="1">
        <v>226637</v>
      </c>
      <c r="K41" s="1">
        <v>259205</v>
      </c>
      <c r="L41" s="1">
        <v>276252</v>
      </c>
      <c r="M41" s="1">
        <v>429564</v>
      </c>
      <c r="N41" s="1">
        <v>378939</v>
      </c>
      <c r="O41" s="1">
        <v>776041</v>
      </c>
      <c r="P41" s="1">
        <v>867333</v>
      </c>
      <c r="Q41" s="1">
        <v>911456</v>
      </c>
      <c r="R41" s="1">
        <v>1092000</v>
      </c>
      <c r="S41" s="1">
        <v>1940000</v>
      </c>
      <c r="T41" s="1">
        <v>2039000</v>
      </c>
      <c r="U41" s="1">
        <v>1701000</v>
      </c>
      <c r="V41" s="1">
        <v>1745000</v>
      </c>
      <c r="W41" s="1">
        <v>2154000</v>
      </c>
      <c r="X41" s="1">
        <v>4365000</v>
      </c>
      <c r="Y41" s="1">
        <v>3187000</v>
      </c>
      <c r="Z41" s="1">
        <v>7320000</v>
      </c>
      <c r="AA41" s="1">
        <v>7243000</v>
      </c>
      <c r="AB41" s="1">
        <v>6968000</v>
      </c>
      <c r="AC41" s="1">
        <v>7790000</v>
      </c>
      <c r="AD41" s="1">
        <v>8740000</v>
      </c>
    </row>
    <row r="42" spans="1:30" ht="19" x14ac:dyDescent="0.25">
      <c r="A42" s="5" t="s">
        <v>34</v>
      </c>
      <c r="B42" s="1" t="s">
        <v>91</v>
      </c>
      <c r="C42" s="1" t="s">
        <v>91</v>
      </c>
      <c r="D42" s="1" t="s">
        <v>91</v>
      </c>
      <c r="E42" s="1">
        <v>100000</v>
      </c>
      <c r="F42" s="1">
        <v>100000</v>
      </c>
      <c r="G42" s="1">
        <v>100000</v>
      </c>
      <c r="H42" s="1">
        <v>200471</v>
      </c>
      <c r="I42" s="1">
        <v>196300</v>
      </c>
      <c r="J42" s="1">
        <v>210802</v>
      </c>
      <c r="K42" s="1">
        <v>230451</v>
      </c>
      <c r="L42" s="1">
        <v>261486</v>
      </c>
      <c r="M42" s="1">
        <v>257626</v>
      </c>
      <c r="N42" s="1">
        <v>291623</v>
      </c>
      <c r="O42" s="1">
        <v>368557</v>
      </c>
      <c r="P42" s="1">
        <v>1717237</v>
      </c>
      <c r="Q42" s="1">
        <v>1222041</v>
      </c>
      <c r="R42" s="1">
        <v>1264000</v>
      </c>
      <c r="S42" s="1">
        <v>1174000</v>
      </c>
      <c r="T42" s="1">
        <v>1260000</v>
      </c>
      <c r="U42" s="1">
        <v>1462000</v>
      </c>
      <c r="V42" s="1">
        <v>1879000</v>
      </c>
      <c r="W42" s="1">
        <v>2368000</v>
      </c>
      <c r="X42" s="1">
        <v>2019000</v>
      </c>
      <c r="Y42" s="1">
        <v>2149000</v>
      </c>
      <c r="Z42" s="1">
        <v>2353000</v>
      </c>
      <c r="AA42" s="1">
        <v>2598000</v>
      </c>
      <c r="AB42" s="1">
        <v>2372000</v>
      </c>
      <c r="AC42" s="1">
        <v>2659000</v>
      </c>
      <c r="AD42" s="1">
        <v>3893000</v>
      </c>
    </row>
    <row r="43" spans="1:30" ht="19" x14ac:dyDescent="0.25">
      <c r="A43" s="5" t="s">
        <v>35</v>
      </c>
      <c r="B43" s="1">
        <v>100000</v>
      </c>
      <c r="C43" s="1">
        <v>100000</v>
      </c>
      <c r="D43" s="1">
        <v>200000</v>
      </c>
      <c r="E43" s="1">
        <v>800000</v>
      </c>
      <c r="F43" s="1">
        <v>600000</v>
      </c>
      <c r="G43" s="1">
        <v>300000</v>
      </c>
      <c r="H43" s="1">
        <v>267661</v>
      </c>
      <c r="I43" s="1">
        <v>281477</v>
      </c>
      <c r="J43" s="1">
        <v>63897</v>
      </c>
      <c r="K43" s="1">
        <v>83647</v>
      </c>
      <c r="L43" s="1">
        <v>1010416</v>
      </c>
      <c r="M43" s="1">
        <v>87991</v>
      </c>
      <c r="N43" s="1">
        <v>140428</v>
      </c>
      <c r="O43" s="1">
        <v>286883</v>
      </c>
      <c r="P43" s="1">
        <v>568599</v>
      </c>
      <c r="Q43" s="1">
        <v>3205490</v>
      </c>
      <c r="R43" s="1">
        <v>2603000</v>
      </c>
      <c r="S43" s="1">
        <v>6332000</v>
      </c>
      <c r="T43" s="1">
        <v>4830000</v>
      </c>
      <c r="U43" s="1">
        <v>6307000</v>
      </c>
      <c r="V43" s="1">
        <v>9167000</v>
      </c>
      <c r="W43" s="1">
        <v>7452000</v>
      </c>
      <c r="X43" s="1">
        <v>11676000</v>
      </c>
      <c r="Y43" s="1">
        <v>10984000</v>
      </c>
      <c r="Z43" s="1">
        <v>9403000</v>
      </c>
      <c r="AA43" s="1">
        <v>10833000</v>
      </c>
      <c r="AB43" s="1">
        <v>6488000</v>
      </c>
      <c r="AC43" s="1">
        <v>6815000</v>
      </c>
      <c r="AD43" s="1">
        <v>2548000</v>
      </c>
    </row>
    <row r="44" spans="1:30" ht="19" x14ac:dyDescent="0.25">
      <c r="A44" s="6" t="s">
        <v>36</v>
      </c>
      <c r="B44" s="10">
        <v>200000</v>
      </c>
      <c r="C44" s="10">
        <v>300000</v>
      </c>
      <c r="D44" s="10">
        <v>3500000</v>
      </c>
      <c r="E44" s="10">
        <v>1300000</v>
      </c>
      <c r="F44" s="10">
        <v>1400000</v>
      </c>
      <c r="G44" s="10">
        <v>1000000</v>
      </c>
      <c r="H44" s="10">
        <v>1140425</v>
      </c>
      <c r="I44" s="10">
        <v>1562058</v>
      </c>
      <c r="J44" s="10">
        <v>1234702</v>
      </c>
      <c r="K44" s="10">
        <v>1313168</v>
      </c>
      <c r="L44" s="10">
        <v>1948689</v>
      </c>
      <c r="M44" s="10">
        <v>1284430</v>
      </c>
      <c r="N44" s="10">
        <v>1688167</v>
      </c>
      <c r="O44" s="10">
        <v>4463607</v>
      </c>
      <c r="P44" s="10">
        <v>8755814</v>
      </c>
      <c r="Q44" s="10">
        <v>18090410</v>
      </c>
      <c r="R44" s="10">
        <v>24127000</v>
      </c>
      <c r="S44" s="10">
        <v>19659000</v>
      </c>
      <c r="T44" s="10">
        <v>14708000</v>
      </c>
      <c r="U44" s="10">
        <v>20681000</v>
      </c>
      <c r="V44" s="10">
        <v>23351000</v>
      </c>
      <c r="W44" s="10">
        <v>20608000</v>
      </c>
      <c r="X44" s="10">
        <v>29387000</v>
      </c>
      <c r="Y44" s="10">
        <v>26242000</v>
      </c>
      <c r="Z44" s="10">
        <v>36802000</v>
      </c>
      <c r="AA44" s="10">
        <v>34771000</v>
      </c>
      <c r="AB44" s="10">
        <v>31433000</v>
      </c>
      <c r="AC44" s="10">
        <v>52950000</v>
      </c>
      <c r="AD44" s="10">
        <v>51161000</v>
      </c>
    </row>
    <row r="45" spans="1:30" ht="19" x14ac:dyDescent="0.25">
      <c r="A45" s="5" t="s">
        <v>37</v>
      </c>
      <c r="B45" s="1">
        <v>400000</v>
      </c>
      <c r="C45" s="1">
        <v>700000</v>
      </c>
      <c r="D45" s="1">
        <v>2400000</v>
      </c>
      <c r="E45" s="1">
        <v>5700000</v>
      </c>
      <c r="F45" s="1">
        <v>10200000</v>
      </c>
      <c r="G45" s="1">
        <v>8600000</v>
      </c>
      <c r="H45" s="1">
        <v>8572182</v>
      </c>
      <c r="I45" s="1">
        <v>8802914</v>
      </c>
      <c r="J45" s="1">
        <v>9122253</v>
      </c>
      <c r="K45" s="1">
        <v>8777057</v>
      </c>
      <c r="L45" s="1">
        <v>8833018</v>
      </c>
      <c r="M45" s="1">
        <v>13416755</v>
      </c>
      <c r="N45" s="1">
        <v>17423843</v>
      </c>
      <c r="O45" s="1">
        <v>21365415</v>
      </c>
      <c r="P45" s="1">
        <v>50038264</v>
      </c>
      <c r="Q45" s="1">
        <v>47265556</v>
      </c>
      <c r="R45" s="1">
        <v>59559000</v>
      </c>
      <c r="S45" s="1">
        <v>65892000</v>
      </c>
      <c r="T45" s="1">
        <v>79940000</v>
      </c>
      <c r="U45" s="1">
        <v>98611000</v>
      </c>
      <c r="V45" s="1">
        <v>113962000</v>
      </c>
      <c r="W45" s="1">
        <v>134150000</v>
      </c>
      <c r="X45" s="1">
        <v>142003000</v>
      </c>
      <c r="Y45" s="1">
        <v>148410000</v>
      </c>
      <c r="Z45" s="1">
        <v>172403000</v>
      </c>
      <c r="AA45" s="1">
        <v>183956000</v>
      </c>
      <c r="AB45" s="1">
        <v>206929000</v>
      </c>
      <c r="AC45" s="1">
        <v>200260000</v>
      </c>
      <c r="AD45" s="1">
        <v>261663000</v>
      </c>
    </row>
    <row r="46" spans="1:30"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v>10505452</v>
      </c>
      <c r="O46" s="1">
        <v>20179610</v>
      </c>
      <c r="P46" s="1">
        <v>37159351</v>
      </c>
      <c r="Q46" s="1">
        <v>36139690</v>
      </c>
      <c r="R46" s="1">
        <v>20931000</v>
      </c>
      <c r="S46" s="1">
        <v>23550000</v>
      </c>
      <c r="T46" s="1">
        <v>43421000</v>
      </c>
      <c r="U46" s="1">
        <v>43987000</v>
      </c>
      <c r="V46" s="1">
        <v>43374000</v>
      </c>
      <c r="W46" s="1">
        <v>52641000</v>
      </c>
      <c r="X46" s="1">
        <v>45921000</v>
      </c>
      <c r="Y46" s="1">
        <v>43866000</v>
      </c>
      <c r="Z46" s="1">
        <v>44425000</v>
      </c>
      <c r="AA46" s="1">
        <v>53630000</v>
      </c>
      <c r="AB46" s="1">
        <v>45686000</v>
      </c>
      <c r="AC46" s="1">
        <v>39379000</v>
      </c>
      <c r="AD46" s="1">
        <v>67767000</v>
      </c>
    </row>
    <row r="47" spans="1:30" ht="19" x14ac:dyDescent="0.25">
      <c r="A47" s="5" t="s">
        <v>39</v>
      </c>
      <c r="B47" s="1" t="s">
        <v>91</v>
      </c>
      <c r="C47" s="1" t="s">
        <v>91</v>
      </c>
      <c r="D47" s="1" t="s">
        <v>91</v>
      </c>
      <c r="E47" s="1" t="s">
        <v>91</v>
      </c>
      <c r="F47" s="1">
        <v>3200000</v>
      </c>
      <c r="G47" s="1">
        <v>2800000</v>
      </c>
      <c r="H47" s="1">
        <v>3412827</v>
      </c>
      <c r="I47" s="1">
        <v>4415391</v>
      </c>
      <c r="J47" s="1">
        <v>1883007</v>
      </c>
      <c r="K47" s="1">
        <v>1962848</v>
      </c>
      <c r="L47" s="1">
        <v>1982848</v>
      </c>
      <c r="M47" s="1">
        <v>9962822</v>
      </c>
      <c r="N47" s="1">
        <v>525076</v>
      </c>
      <c r="O47" s="1">
        <v>698584</v>
      </c>
      <c r="P47" s="1">
        <v>40633852</v>
      </c>
      <c r="Q47" s="1">
        <v>42348310</v>
      </c>
      <c r="R47" s="1">
        <v>42342000</v>
      </c>
      <c r="S47" s="1">
        <v>43183000</v>
      </c>
      <c r="T47" s="1">
        <v>51785000</v>
      </c>
      <c r="U47" s="1">
        <v>56031000</v>
      </c>
      <c r="V47" s="1">
        <v>54643000</v>
      </c>
      <c r="W47" s="1">
        <v>60997000</v>
      </c>
      <c r="X47" s="1">
        <v>52189000</v>
      </c>
      <c r="Y47" s="1">
        <v>74424000</v>
      </c>
      <c r="Z47" s="1">
        <v>71532000</v>
      </c>
      <c r="AA47" s="1">
        <v>75951000</v>
      </c>
      <c r="AB47" s="1">
        <v>73077000</v>
      </c>
      <c r="AC47" s="1">
        <v>67824000</v>
      </c>
      <c r="AD47" s="1">
        <v>144049000</v>
      </c>
    </row>
    <row r="48" spans="1:30" ht="19" x14ac:dyDescent="0.25">
      <c r="A48" s="5" t="s">
        <v>40</v>
      </c>
      <c r="B48" s="1" t="s">
        <v>91</v>
      </c>
      <c r="C48" s="1" t="s">
        <v>91</v>
      </c>
      <c r="D48" s="1" t="s">
        <v>91</v>
      </c>
      <c r="E48" s="1" t="s">
        <v>91</v>
      </c>
      <c r="F48" s="1">
        <v>3200000</v>
      </c>
      <c r="G48" s="1">
        <v>2800000</v>
      </c>
      <c r="H48" s="1">
        <v>3412827</v>
      </c>
      <c r="I48" s="1">
        <v>4415391</v>
      </c>
      <c r="J48" s="1">
        <v>1883007</v>
      </c>
      <c r="K48" s="1">
        <v>1962848</v>
      </c>
      <c r="L48" s="1">
        <v>1982848</v>
      </c>
      <c r="M48" s="1">
        <v>9962822</v>
      </c>
      <c r="N48" s="1">
        <v>11030528</v>
      </c>
      <c r="O48" s="1">
        <v>20878194</v>
      </c>
      <c r="P48" s="1">
        <v>77793203</v>
      </c>
      <c r="Q48" s="1">
        <v>78488000</v>
      </c>
      <c r="R48" s="1">
        <v>63273000</v>
      </c>
      <c r="S48" s="1">
        <v>66733000</v>
      </c>
      <c r="T48" s="1">
        <v>95206000</v>
      </c>
      <c r="U48" s="1">
        <v>100018000</v>
      </c>
      <c r="V48" s="1">
        <v>98017000</v>
      </c>
      <c r="W48" s="1">
        <v>113638000</v>
      </c>
      <c r="X48" s="1">
        <v>98110000</v>
      </c>
      <c r="Y48" s="1">
        <v>118290000</v>
      </c>
      <c r="Z48" s="1">
        <v>115957000</v>
      </c>
      <c r="AA48" s="1">
        <v>129581000</v>
      </c>
      <c r="AB48" s="1">
        <v>118763000</v>
      </c>
      <c r="AC48" s="1">
        <v>107203000</v>
      </c>
      <c r="AD48" s="1">
        <v>211816000</v>
      </c>
    </row>
    <row r="49" spans="1:30"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t="s">
        <v>91</v>
      </c>
      <c r="AB49" s="1" t="s">
        <v>91</v>
      </c>
      <c r="AC49" s="1" t="s">
        <v>91</v>
      </c>
      <c r="AD49" s="1" t="s">
        <v>91</v>
      </c>
    </row>
    <row r="50" spans="1:30"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row>
    <row r="51" spans="1:30" ht="19" x14ac:dyDescent="0.25">
      <c r="A51" s="5" t="s">
        <v>43</v>
      </c>
      <c r="B51" s="1" t="s">
        <v>91</v>
      </c>
      <c r="C51" s="1">
        <v>400000</v>
      </c>
      <c r="D51" s="1">
        <v>200000</v>
      </c>
      <c r="E51" s="1">
        <v>100000</v>
      </c>
      <c r="F51" s="1">
        <v>100000</v>
      </c>
      <c r="G51" s="1">
        <v>200000</v>
      </c>
      <c r="H51" s="1">
        <v>288223</v>
      </c>
      <c r="I51" s="1">
        <v>168137</v>
      </c>
      <c r="J51" s="1">
        <v>197358</v>
      </c>
      <c r="K51" s="1">
        <v>202439</v>
      </c>
      <c r="L51" s="1">
        <v>435204</v>
      </c>
      <c r="M51" s="1">
        <v>365011</v>
      </c>
      <c r="N51" s="1">
        <v>460337</v>
      </c>
      <c r="O51" s="1">
        <v>368544</v>
      </c>
      <c r="P51" s="1">
        <v>481525</v>
      </c>
      <c r="Q51" s="1">
        <v>1233392</v>
      </c>
      <c r="R51" s="1">
        <v>1412000</v>
      </c>
      <c r="S51" s="1">
        <v>1093000</v>
      </c>
      <c r="T51" s="1">
        <v>2539000</v>
      </c>
      <c r="U51" s="1">
        <v>3790000</v>
      </c>
      <c r="V51" s="1">
        <v>3812000</v>
      </c>
      <c r="W51" s="1">
        <v>2416000</v>
      </c>
      <c r="X51" s="1">
        <v>6988000</v>
      </c>
      <c r="Y51" s="1">
        <v>6942000</v>
      </c>
      <c r="Z51" s="1">
        <v>5404000</v>
      </c>
      <c r="AA51" s="1">
        <v>5329000</v>
      </c>
      <c r="AB51" s="1">
        <v>3808000</v>
      </c>
      <c r="AC51" s="1">
        <v>4206000</v>
      </c>
      <c r="AD51" s="1">
        <v>6098000</v>
      </c>
    </row>
    <row r="52" spans="1:30" ht="19" x14ac:dyDescent="0.25">
      <c r="A52" s="5" t="s">
        <v>44</v>
      </c>
      <c r="B52" s="1">
        <v>400000</v>
      </c>
      <c r="C52" s="1">
        <v>1100000</v>
      </c>
      <c r="D52" s="1">
        <v>2600000</v>
      </c>
      <c r="E52" s="1">
        <v>5800000</v>
      </c>
      <c r="F52" s="1">
        <v>13500000</v>
      </c>
      <c r="G52" s="1">
        <v>11600000</v>
      </c>
      <c r="H52" s="1">
        <v>12273232</v>
      </c>
      <c r="I52" s="1">
        <v>13386442</v>
      </c>
      <c r="J52" s="1">
        <v>11202618</v>
      </c>
      <c r="K52" s="1">
        <v>10942344</v>
      </c>
      <c r="L52" s="1">
        <v>11251070</v>
      </c>
      <c r="M52" s="1">
        <v>23744588</v>
      </c>
      <c r="N52" s="1">
        <v>28914708</v>
      </c>
      <c r="O52" s="1">
        <v>42612153</v>
      </c>
      <c r="P52" s="1">
        <v>128312992</v>
      </c>
      <c r="Q52" s="1">
        <v>126986948</v>
      </c>
      <c r="R52" s="1">
        <v>124244000</v>
      </c>
      <c r="S52" s="1">
        <v>133718000</v>
      </c>
      <c r="T52" s="1">
        <v>177685000</v>
      </c>
      <c r="U52" s="1">
        <v>202419000</v>
      </c>
      <c r="V52" s="1">
        <v>215791000</v>
      </c>
      <c r="W52" s="1">
        <v>250204000</v>
      </c>
      <c r="X52" s="1">
        <v>247101000</v>
      </c>
      <c r="Y52" s="1">
        <v>273642000</v>
      </c>
      <c r="Z52" s="1">
        <v>293764000</v>
      </c>
      <c r="AA52" s="1">
        <v>318866000</v>
      </c>
      <c r="AB52" s="1">
        <v>329500000</v>
      </c>
      <c r="AC52" s="1">
        <v>311669000</v>
      </c>
      <c r="AD52" s="1">
        <v>479577000</v>
      </c>
    </row>
    <row r="53" spans="1:30"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row>
    <row r="54" spans="1:30" ht="20" thickBot="1" x14ac:dyDescent="0.3">
      <c r="A54" s="7" t="s">
        <v>46</v>
      </c>
      <c r="B54" s="11">
        <v>600000</v>
      </c>
      <c r="C54" s="11">
        <v>1400000</v>
      </c>
      <c r="D54" s="11">
        <v>6100000</v>
      </c>
      <c r="E54" s="11">
        <v>7100000</v>
      </c>
      <c r="F54" s="11">
        <v>14900000</v>
      </c>
      <c r="G54" s="11">
        <v>12600000</v>
      </c>
      <c r="H54" s="11">
        <v>13413657</v>
      </c>
      <c r="I54" s="11">
        <v>14948500</v>
      </c>
      <c r="J54" s="11">
        <v>12437320</v>
      </c>
      <c r="K54" s="11">
        <v>12255512</v>
      </c>
      <c r="L54" s="11">
        <v>13199759</v>
      </c>
      <c r="M54" s="11">
        <v>25029018</v>
      </c>
      <c r="N54" s="11">
        <v>30602875</v>
      </c>
      <c r="O54" s="11">
        <v>47075760</v>
      </c>
      <c r="P54" s="11">
        <v>137068806</v>
      </c>
      <c r="Q54" s="11">
        <v>145077358</v>
      </c>
      <c r="R54" s="11">
        <v>148371000</v>
      </c>
      <c r="S54" s="11">
        <v>153377000</v>
      </c>
      <c r="T54" s="11">
        <v>192393000</v>
      </c>
      <c r="U54" s="11">
        <v>223100000</v>
      </c>
      <c r="V54" s="11">
        <v>239142000</v>
      </c>
      <c r="W54" s="11">
        <v>270812000</v>
      </c>
      <c r="X54" s="11">
        <v>276488000</v>
      </c>
      <c r="Y54" s="11">
        <v>299884000</v>
      </c>
      <c r="Z54" s="11">
        <v>330566000</v>
      </c>
      <c r="AA54" s="11">
        <v>353637000</v>
      </c>
      <c r="AB54" s="11">
        <v>360933000</v>
      </c>
      <c r="AC54" s="11">
        <v>364619000</v>
      </c>
      <c r="AD54" s="11">
        <v>530738000</v>
      </c>
    </row>
    <row r="55" spans="1:30" ht="20" thickTop="1" x14ac:dyDescent="0.25">
      <c r="A55" s="5" t="s">
        <v>47</v>
      </c>
      <c r="B55" s="1">
        <v>300000</v>
      </c>
      <c r="C55" s="1">
        <v>500000</v>
      </c>
      <c r="D55" s="1">
        <v>300000</v>
      </c>
      <c r="E55" s="1">
        <v>600000</v>
      </c>
      <c r="F55" s="1">
        <v>1200000</v>
      </c>
      <c r="G55" s="1">
        <v>500000</v>
      </c>
      <c r="H55" s="1">
        <v>437083</v>
      </c>
      <c r="I55" s="1">
        <v>234591</v>
      </c>
      <c r="J55" s="1">
        <v>274659</v>
      </c>
      <c r="K55" s="1">
        <v>189208</v>
      </c>
      <c r="L55" s="1">
        <v>317278</v>
      </c>
      <c r="M55" s="1">
        <v>1034508</v>
      </c>
      <c r="N55" s="1">
        <v>554979</v>
      </c>
      <c r="O55" s="1">
        <v>493499</v>
      </c>
      <c r="P55" s="1">
        <v>1203555</v>
      </c>
      <c r="Q55" s="1">
        <v>784575</v>
      </c>
      <c r="R55" s="1">
        <v>731000</v>
      </c>
      <c r="S55" s="1">
        <v>1215000</v>
      </c>
      <c r="T55" s="1">
        <v>1865000</v>
      </c>
      <c r="U55" s="1">
        <v>1804000</v>
      </c>
      <c r="V55" s="1">
        <v>2198000</v>
      </c>
      <c r="W55" s="1">
        <v>2164000</v>
      </c>
      <c r="X55" s="1">
        <v>1701000</v>
      </c>
      <c r="Y55" s="1">
        <v>2147000</v>
      </c>
      <c r="Z55" s="1">
        <v>2825000</v>
      </c>
      <c r="AA55" s="1">
        <v>3810000</v>
      </c>
      <c r="AB55" s="1">
        <v>4799000</v>
      </c>
      <c r="AC55" s="1">
        <v>4408000</v>
      </c>
      <c r="AD55" s="1">
        <v>5482000</v>
      </c>
    </row>
    <row r="56" spans="1:30" ht="19" x14ac:dyDescent="0.25">
      <c r="A56" s="5" t="s">
        <v>48</v>
      </c>
      <c r="B56" s="1" t="s">
        <v>91</v>
      </c>
      <c r="C56" s="1" t="s">
        <v>91</v>
      </c>
      <c r="D56" s="1">
        <v>200000</v>
      </c>
      <c r="E56" s="1">
        <v>400000</v>
      </c>
      <c r="F56" s="1">
        <v>700000</v>
      </c>
      <c r="G56" s="1">
        <v>400000</v>
      </c>
      <c r="H56" s="1">
        <v>456749</v>
      </c>
      <c r="I56" s="1">
        <v>327162</v>
      </c>
      <c r="J56" s="1">
        <v>459972</v>
      </c>
      <c r="K56" s="1">
        <v>449439</v>
      </c>
      <c r="L56" s="1">
        <v>516845</v>
      </c>
      <c r="M56" s="1">
        <v>1444782</v>
      </c>
      <c r="N56" s="1">
        <v>2278315</v>
      </c>
      <c r="O56" s="1">
        <v>3291154</v>
      </c>
      <c r="P56" s="1">
        <v>2644541</v>
      </c>
      <c r="Q56" s="1">
        <v>6741327</v>
      </c>
      <c r="R56" s="1">
        <v>9159000</v>
      </c>
      <c r="S56" s="1">
        <v>5494000</v>
      </c>
      <c r="T56" s="1">
        <v>6603000</v>
      </c>
      <c r="U56" s="1">
        <v>8830000</v>
      </c>
      <c r="V56" s="1">
        <v>12315000</v>
      </c>
      <c r="W56" s="1">
        <v>9700000</v>
      </c>
      <c r="X56" s="1">
        <v>9950000</v>
      </c>
      <c r="Y56" s="1">
        <v>17440000</v>
      </c>
      <c r="Z56" s="1">
        <v>19047000</v>
      </c>
      <c r="AA56" s="1">
        <v>15754000</v>
      </c>
      <c r="AB56" s="1">
        <v>17932000</v>
      </c>
      <c r="AC56" s="1">
        <v>8214000</v>
      </c>
      <c r="AD56" s="1">
        <v>14691000</v>
      </c>
    </row>
    <row r="57" spans="1:30"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v>1125985</v>
      </c>
      <c r="R57" s="1">
        <v>3955000</v>
      </c>
      <c r="S57" s="1">
        <v>6830000</v>
      </c>
      <c r="T57" s="1">
        <v>9849000</v>
      </c>
      <c r="U57" s="1" t="s">
        <v>91</v>
      </c>
      <c r="V57" s="1" t="s">
        <v>91</v>
      </c>
      <c r="W57" s="1" t="s">
        <v>91</v>
      </c>
      <c r="X57" s="1">
        <v>3465000</v>
      </c>
      <c r="Y57" s="1">
        <v>3610000</v>
      </c>
      <c r="Z57" s="1">
        <v>4211000</v>
      </c>
      <c r="AA57" s="1">
        <v>5356000</v>
      </c>
      <c r="AB57" s="1">
        <v>4925000</v>
      </c>
      <c r="AC57" s="1">
        <v>4891000</v>
      </c>
      <c r="AD57" s="1">
        <v>5312000</v>
      </c>
    </row>
    <row r="58" spans="1:30"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v>256000</v>
      </c>
      <c r="Y58" s="1">
        <v>196000</v>
      </c>
      <c r="Z58" s="1">
        <v>134000</v>
      </c>
      <c r="AA58" s="1">
        <v>83000</v>
      </c>
      <c r="AB58" s="1">
        <v>336000</v>
      </c>
      <c r="AC58" s="1">
        <v>354000</v>
      </c>
      <c r="AD58" s="1">
        <v>234000</v>
      </c>
    </row>
    <row r="59" spans="1:30" ht="19" x14ac:dyDescent="0.25">
      <c r="A59" s="5" t="s">
        <v>51</v>
      </c>
      <c r="B59" s="1">
        <v>300000</v>
      </c>
      <c r="C59" s="1">
        <v>500000</v>
      </c>
      <c r="D59" s="1">
        <v>200000</v>
      </c>
      <c r="E59" s="1">
        <v>200000</v>
      </c>
      <c r="F59" s="1">
        <v>300000</v>
      </c>
      <c r="G59" s="1">
        <v>100000</v>
      </c>
      <c r="H59" s="1">
        <v>380279</v>
      </c>
      <c r="I59" s="1">
        <v>499049</v>
      </c>
      <c r="J59" s="1">
        <v>533068</v>
      </c>
      <c r="K59" s="1">
        <v>622216</v>
      </c>
      <c r="L59" s="1">
        <v>650348</v>
      </c>
      <c r="M59" s="1">
        <v>852865</v>
      </c>
      <c r="N59" s="1">
        <v>1118974</v>
      </c>
      <c r="O59" s="1">
        <v>1709426</v>
      </c>
      <c r="P59" s="1">
        <v>4579918</v>
      </c>
      <c r="Q59" s="1">
        <v>2752476</v>
      </c>
      <c r="R59" s="1">
        <v>4576000</v>
      </c>
      <c r="S59" s="1">
        <v>4152000</v>
      </c>
      <c r="T59" s="1">
        <v>4536000</v>
      </c>
      <c r="U59" s="1">
        <v>18312000</v>
      </c>
      <c r="V59" s="1">
        <v>24681000</v>
      </c>
      <c r="W59" s="1">
        <v>10990000</v>
      </c>
      <c r="X59" s="1">
        <v>9085000</v>
      </c>
      <c r="Y59" s="1">
        <v>7718000</v>
      </c>
      <c r="Z59" s="1">
        <v>7628000</v>
      </c>
      <c r="AA59" s="1">
        <v>9205000</v>
      </c>
      <c r="AB59" s="1">
        <v>9312000</v>
      </c>
      <c r="AC59" s="1">
        <v>5158000</v>
      </c>
      <c r="AD59" s="1">
        <v>5782000</v>
      </c>
    </row>
    <row r="60" spans="1:30" ht="19" x14ac:dyDescent="0.25">
      <c r="A60" s="6" t="s">
        <v>52</v>
      </c>
      <c r="B60" s="10">
        <v>600000</v>
      </c>
      <c r="C60" s="10">
        <v>1000000</v>
      </c>
      <c r="D60" s="10">
        <v>700000</v>
      </c>
      <c r="E60" s="10">
        <v>1200000</v>
      </c>
      <c r="F60" s="10">
        <v>2200000</v>
      </c>
      <c r="G60" s="10">
        <v>1000000</v>
      </c>
      <c r="H60" s="10">
        <v>1274111</v>
      </c>
      <c r="I60" s="10">
        <v>1060802</v>
      </c>
      <c r="J60" s="10">
        <v>1267699</v>
      </c>
      <c r="K60" s="10">
        <v>1260863</v>
      </c>
      <c r="L60" s="10">
        <v>1484471</v>
      </c>
      <c r="M60" s="10">
        <v>3332155</v>
      </c>
      <c r="N60" s="10">
        <v>3952268</v>
      </c>
      <c r="O60" s="10">
        <v>5494079</v>
      </c>
      <c r="P60" s="10">
        <v>8428014</v>
      </c>
      <c r="Q60" s="10">
        <v>11404363</v>
      </c>
      <c r="R60" s="10">
        <v>18421000</v>
      </c>
      <c r="S60" s="10">
        <v>17691000</v>
      </c>
      <c r="T60" s="10">
        <v>22853000</v>
      </c>
      <c r="U60" s="10">
        <v>28946000</v>
      </c>
      <c r="V60" s="10">
        <v>39194000</v>
      </c>
      <c r="W60" s="10">
        <v>22854000</v>
      </c>
      <c r="X60" s="10">
        <v>24457000</v>
      </c>
      <c r="Y60" s="10">
        <v>31111000</v>
      </c>
      <c r="Z60" s="10">
        <v>33845000</v>
      </c>
      <c r="AA60" s="10">
        <v>34208000</v>
      </c>
      <c r="AB60" s="10">
        <v>37304000</v>
      </c>
      <c r="AC60" s="10">
        <v>23025000</v>
      </c>
      <c r="AD60" s="10">
        <v>31501000</v>
      </c>
    </row>
    <row r="61" spans="1:30" ht="19" x14ac:dyDescent="0.25">
      <c r="A61" s="5" t="s">
        <v>53</v>
      </c>
      <c r="B61" s="1">
        <v>200000</v>
      </c>
      <c r="C61" s="1">
        <v>200000</v>
      </c>
      <c r="D61" s="1">
        <v>100000</v>
      </c>
      <c r="E61" s="1">
        <v>1800000</v>
      </c>
      <c r="F61" s="1">
        <v>6000000</v>
      </c>
      <c r="G61" s="1">
        <v>4300000</v>
      </c>
      <c r="H61" s="1">
        <v>3409767</v>
      </c>
      <c r="I61" s="1">
        <v>3509914</v>
      </c>
      <c r="J61" s="1">
        <v>4147381</v>
      </c>
      <c r="K61" s="1">
        <v>3576896</v>
      </c>
      <c r="L61" s="1">
        <v>3364765</v>
      </c>
      <c r="M61" s="1">
        <v>11896942</v>
      </c>
      <c r="N61" s="1">
        <v>11642418</v>
      </c>
      <c r="O61" s="1">
        <v>11096185</v>
      </c>
      <c r="P61" s="1">
        <v>30912865</v>
      </c>
      <c r="Q61" s="1">
        <v>31956855</v>
      </c>
      <c r="R61" s="1">
        <v>34803000</v>
      </c>
      <c r="S61" s="1">
        <v>30060000</v>
      </c>
      <c r="T61" s="1">
        <v>56925000</v>
      </c>
      <c r="U61" s="1">
        <v>69762000</v>
      </c>
      <c r="V61" s="1">
        <v>58037000</v>
      </c>
      <c r="W61" s="1">
        <v>85220000</v>
      </c>
      <c r="X61" s="1">
        <v>95936000</v>
      </c>
      <c r="Y61" s="1">
        <v>106912000</v>
      </c>
      <c r="Z61" s="1">
        <v>121580000</v>
      </c>
      <c r="AA61" s="1">
        <v>127774000</v>
      </c>
      <c r="AB61" s="1">
        <v>150570000</v>
      </c>
      <c r="AC61" s="1">
        <v>142884000</v>
      </c>
      <c r="AD61" s="1">
        <v>226568000</v>
      </c>
    </row>
    <row r="62" spans="1:30"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row>
    <row r="63" spans="1:30"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v>4391499</v>
      </c>
      <c r="P63" s="1">
        <v>16894256</v>
      </c>
      <c r="Q63" s="1">
        <v>18303390</v>
      </c>
      <c r="R63" s="1">
        <v>15566000</v>
      </c>
      <c r="S63" s="1">
        <v>23033000</v>
      </c>
      <c r="T63" s="1">
        <v>23963000</v>
      </c>
      <c r="U63" s="1">
        <v>26354000</v>
      </c>
      <c r="V63" s="1">
        <v>27688000</v>
      </c>
      <c r="W63" s="1">
        <v>31529000</v>
      </c>
      <c r="X63" s="1">
        <v>25470000</v>
      </c>
      <c r="Y63" s="1">
        <v>25541000</v>
      </c>
      <c r="Z63" s="1">
        <v>19552000</v>
      </c>
      <c r="AA63" s="1">
        <v>21658000</v>
      </c>
      <c r="AB63" s="1">
        <v>20390000</v>
      </c>
      <c r="AC63" s="1">
        <v>19137000</v>
      </c>
      <c r="AD63" s="1">
        <v>30562000</v>
      </c>
    </row>
    <row r="64" spans="1:30" ht="19" x14ac:dyDescent="0.25">
      <c r="A64" s="5" t="s">
        <v>55</v>
      </c>
      <c r="B64" s="1">
        <v>-100000</v>
      </c>
      <c r="C64" s="1" t="s">
        <v>91</v>
      </c>
      <c r="D64" s="1" t="s">
        <v>91</v>
      </c>
      <c r="E64" s="1">
        <v>-100000</v>
      </c>
      <c r="F64" s="1">
        <v>100000</v>
      </c>
      <c r="G64" s="1" t="s">
        <v>91</v>
      </c>
      <c r="H64" s="1" t="s">
        <v>91</v>
      </c>
      <c r="I64" s="1" t="s">
        <v>91</v>
      </c>
      <c r="J64" s="1" t="s">
        <v>91</v>
      </c>
      <c r="K64" s="1" t="s">
        <v>91</v>
      </c>
      <c r="L64" s="1">
        <v>163739</v>
      </c>
      <c r="M64" s="1">
        <v>193648</v>
      </c>
      <c r="N64" s="1">
        <v>1099701</v>
      </c>
      <c r="O64" s="1">
        <v>1870415</v>
      </c>
      <c r="P64" s="1">
        <v>14472987</v>
      </c>
      <c r="Q64" s="1">
        <v>9968792</v>
      </c>
      <c r="R64" s="1">
        <v>6328000</v>
      </c>
      <c r="S64" s="1">
        <v>2371000</v>
      </c>
      <c r="T64" s="1">
        <v>1040000</v>
      </c>
      <c r="U64" s="1">
        <v>956000</v>
      </c>
      <c r="V64" s="1">
        <v>924000</v>
      </c>
      <c r="W64" s="1">
        <v>2723000</v>
      </c>
      <c r="X64" s="1">
        <v>483000</v>
      </c>
      <c r="Y64" s="1">
        <v>1095000</v>
      </c>
      <c r="Z64" s="1">
        <v>1423000</v>
      </c>
      <c r="AA64" s="1">
        <v>1696000</v>
      </c>
      <c r="AB64" s="1">
        <v>362000</v>
      </c>
      <c r="AC64" s="1">
        <v>350000</v>
      </c>
      <c r="AD64" s="1">
        <v>349000</v>
      </c>
    </row>
    <row r="65" spans="1:30" ht="19" x14ac:dyDescent="0.25">
      <c r="A65" s="5" t="s">
        <v>56</v>
      </c>
      <c r="B65" s="1">
        <v>100000</v>
      </c>
      <c r="C65" s="1">
        <v>200000</v>
      </c>
      <c r="D65" s="1">
        <v>100000</v>
      </c>
      <c r="E65" s="1">
        <v>1700000</v>
      </c>
      <c r="F65" s="1">
        <v>6100000</v>
      </c>
      <c r="G65" s="1">
        <v>4300000</v>
      </c>
      <c r="H65" s="1">
        <v>3409767</v>
      </c>
      <c r="I65" s="1">
        <v>3509914</v>
      </c>
      <c r="J65" s="1">
        <v>4147381</v>
      </c>
      <c r="K65" s="1">
        <v>3576896</v>
      </c>
      <c r="L65" s="1">
        <v>3528504</v>
      </c>
      <c r="M65" s="1">
        <v>12090590</v>
      </c>
      <c r="N65" s="1">
        <v>12742119</v>
      </c>
      <c r="O65" s="1">
        <v>17358099</v>
      </c>
      <c r="P65" s="1">
        <v>62280108</v>
      </c>
      <c r="Q65" s="1">
        <v>60229037</v>
      </c>
      <c r="R65" s="1">
        <v>56697000</v>
      </c>
      <c r="S65" s="1">
        <v>55464000</v>
      </c>
      <c r="T65" s="1">
        <v>81928000</v>
      </c>
      <c r="U65" s="1">
        <v>97072000</v>
      </c>
      <c r="V65" s="1">
        <v>86649000</v>
      </c>
      <c r="W65" s="1">
        <v>119472000</v>
      </c>
      <c r="X65" s="1">
        <v>121889000</v>
      </c>
      <c r="Y65" s="1">
        <v>133548000</v>
      </c>
      <c r="Z65" s="1">
        <v>142555000</v>
      </c>
      <c r="AA65" s="1">
        <v>151128000</v>
      </c>
      <c r="AB65" s="1">
        <v>171322000</v>
      </c>
      <c r="AC65" s="1">
        <v>162371000</v>
      </c>
      <c r="AD65" s="1">
        <v>257479000</v>
      </c>
    </row>
    <row r="66" spans="1:30"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row>
    <row r="67" spans="1:30" ht="19" x14ac:dyDescent="0.25">
      <c r="A67" s="6" t="s">
        <v>58</v>
      </c>
      <c r="B67" s="10">
        <v>700000</v>
      </c>
      <c r="C67" s="10">
        <v>1200000</v>
      </c>
      <c r="D67" s="10">
        <v>800000</v>
      </c>
      <c r="E67" s="10">
        <v>2900000</v>
      </c>
      <c r="F67" s="10">
        <v>8300000</v>
      </c>
      <c r="G67" s="10">
        <v>5300000</v>
      </c>
      <c r="H67" s="10">
        <v>4683878</v>
      </c>
      <c r="I67" s="10">
        <v>4570716</v>
      </c>
      <c r="J67" s="10">
        <v>5415080</v>
      </c>
      <c r="K67" s="10">
        <v>4837759</v>
      </c>
      <c r="L67" s="10">
        <v>5012975</v>
      </c>
      <c r="M67" s="10">
        <v>15422745</v>
      </c>
      <c r="N67" s="10">
        <v>16694387</v>
      </c>
      <c r="O67" s="10">
        <v>22852178</v>
      </c>
      <c r="P67" s="10">
        <v>70708122</v>
      </c>
      <c r="Q67" s="10">
        <v>71633400</v>
      </c>
      <c r="R67" s="10">
        <v>75118000</v>
      </c>
      <c r="S67" s="10">
        <v>73155000</v>
      </c>
      <c r="T67" s="10">
        <v>104781000</v>
      </c>
      <c r="U67" s="10">
        <v>126018000</v>
      </c>
      <c r="V67" s="10">
        <v>125843000</v>
      </c>
      <c r="W67" s="10">
        <v>142326000</v>
      </c>
      <c r="X67" s="10">
        <v>146346000</v>
      </c>
      <c r="Y67" s="10">
        <v>164659000</v>
      </c>
      <c r="Z67" s="10">
        <v>176400000</v>
      </c>
      <c r="AA67" s="10">
        <v>185336000</v>
      </c>
      <c r="AB67" s="10">
        <v>208626000</v>
      </c>
      <c r="AC67" s="10">
        <v>185396000</v>
      </c>
      <c r="AD67" s="10">
        <v>288980000</v>
      </c>
    </row>
    <row r="68" spans="1:30" ht="19" x14ac:dyDescent="0.25">
      <c r="A68" s="5" t="s">
        <v>59</v>
      </c>
      <c r="B68" s="1" t="s">
        <v>91</v>
      </c>
      <c r="C68" s="1" t="s">
        <v>91</v>
      </c>
      <c r="D68" s="1" t="s">
        <v>91</v>
      </c>
      <c r="E68" s="1" t="s">
        <v>91</v>
      </c>
      <c r="F68" s="1" t="s">
        <v>91</v>
      </c>
      <c r="G68" s="1" t="s">
        <v>91</v>
      </c>
      <c r="H68" s="1">
        <v>43487</v>
      </c>
      <c r="I68" s="1">
        <v>45987</v>
      </c>
      <c r="J68" s="1">
        <v>46087</v>
      </c>
      <c r="K68" s="1">
        <v>46087</v>
      </c>
      <c r="L68" s="1">
        <v>46087</v>
      </c>
      <c r="M68" s="1">
        <v>52207</v>
      </c>
      <c r="N68" s="1">
        <v>58053</v>
      </c>
      <c r="O68" s="1">
        <v>69034</v>
      </c>
      <c r="P68" s="1">
        <v>96893</v>
      </c>
      <c r="Q68" s="1">
        <v>88796</v>
      </c>
      <c r="R68" s="1">
        <v>98000</v>
      </c>
      <c r="S68" s="1">
        <v>96000</v>
      </c>
      <c r="T68" s="1">
        <v>96000</v>
      </c>
      <c r="U68" s="1">
        <v>95000</v>
      </c>
      <c r="V68" s="1">
        <v>101000</v>
      </c>
      <c r="W68" s="1">
        <v>103000</v>
      </c>
      <c r="X68" s="1">
        <v>97000</v>
      </c>
      <c r="Y68" s="1">
        <v>97000</v>
      </c>
      <c r="Z68" s="1">
        <v>97000</v>
      </c>
      <c r="AA68" s="1">
        <v>96000</v>
      </c>
      <c r="AB68" s="1">
        <v>91000</v>
      </c>
      <c r="AC68" s="1">
        <v>90000</v>
      </c>
      <c r="AD68" s="1">
        <v>92000</v>
      </c>
    </row>
    <row r="69" spans="1:30" ht="19" x14ac:dyDescent="0.25">
      <c r="A69" s="5" t="s">
        <v>60</v>
      </c>
      <c r="B69" s="1">
        <v>-200000</v>
      </c>
      <c r="C69" s="1">
        <v>200000</v>
      </c>
      <c r="D69" s="1">
        <v>-500000</v>
      </c>
      <c r="E69" s="1">
        <v>-1800000</v>
      </c>
      <c r="F69" s="1">
        <v>-2400000</v>
      </c>
      <c r="G69" s="1">
        <v>-2400000</v>
      </c>
      <c r="H69" s="1">
        <v>-2245567</v>
      </c>
      <c r="I69" s="1">
        <v>-930849</v>
      </c>
      <c r="J69" s="1">
        <v>-3202029</v>
      </c>
      <c r="K69" s="1">
        <v>-2763735</v>
      </c>
      <c r="L69" s="1">
        <v>-1988482</v>
      </c>
      <c r="M69" s="1">
        <v>-2203630</v>
      </c>
      <c r="N69" s="1">
        <v>-450916</v>
      </c>
      <c r="O69" s="1">
        <v>2603983</v>
      </c>
      <c r="P69" s="1">
        <v>10264650</v>
      </c>
      <c r="Q69" s="1">
        <v>15472747</v>
      </c>
      <c r="R69" s="1">
        <v>7515000</v>
      </c>
      <c r="S69" s="1">
        <v>15361000</v>
      </c>
      <c r="T69" s="1">
        <v>22939000</v>
      </c>
      <c r="U69" s="1">
        <v>32130000</v>
      </c>
      <c r="V69" s="1">
        <v>43370000</v>
      </c>
      <c r="W69" s="1">
        <v>52682000</v>
      </c>
      <c r="X69" s="1">
        <v>62909000</v>
      </c>
      <c r="Y69" s="1">
        <v>69195000</v>
      </c>
      <c r="Z69" s="1">
        <v>89740000</v>
      </c>
      <c r="AA69" s="1">
        <v>107049000</v>
      </c>
      <c r="AB69" s="1">
        <v>100797000</v>
      </c>
      <c r="AC69" s="1">
        <v>129693000</v>
      </c>
      <c r="AD69" s="1">
        <v>173950000</v>
      </c>
    </row>
    <row r="70" spans="1:30" ht="19" x14ac:dyDescent="0.25">
      <c r="A70" s="5" t="s">
        <v>61</v>
      </c>
      <c r="B70" s="1">
        <v>-300000</v>
      </c>
      <c r="C70" s="1">
        <v>-400000</v>
      </c>
      <c r="D70" s="1">
        <v>-600000</v>
      </c>
      <c r="E70" s="1">
        <v>-800000</v>
      </c>
      <c r="F70" s="1">
        <v>-1200000</v>
      </c>
      <c r="G70" s="1">
        <v>-1300000</v>
      </c>
      <c r="H70" s="1">
        <v>-1296898</v>
      </c>
      <c r="I70" s="1">
        <v>-1717214</v>
      </c>
      <c r="J70" s="1">
        <v>-2094712</v>
      </c>
      <c r="K70" s="1">
        <v>120000</v>
      </c>
      <c r="L70" s="1">
        <v>109002</v>
      </c>
      <c r="M70" s="1">
        <v>15572</v>
      </c>
      <c r="N70" s="1">
        <v>8898</v>
      </c>
      <c r="O70" s="1">
        <v>20021</v>
      </c>
      <c r="P70" s="1">
        <v>-13347</v>
      </c>
      <c r="Q70" s="1" t="s">
        <v>91</v>
      </c>
      <c r="R70" s="1">
        <v>-13877000</v>
      </c>
      <c r="S70" s="1">
        <v>10000</v>
      </c>
      <c r="T70" s="1">
        <v>59000</v>
      </c>
      <c r="U70" s="1">
        <v>50000</v>
      </c>
      <c r="V70" s="1">
        <v>91000</v>
      </c>
      <c r="W70" s="1">
        <v>109000</v>
      </c>
      <c r="X70" s="1" t="s">
        <v>91</v>
      </c>
      <c r="Y70" s="1">
        <v>-45274000</v>
      </c>
      <c r="Z70" s="1">
        <v>220000</v>
      </c>
      <c r="AA70" s="1" t="s">
        <v>91</v>
      </c>
      <c r="AB70" s="1">
        <v>-58945000</v>
      </c>
      <c r="AC70" s="1" t="s">
        <v>91</v>
      </c>
      <c r="AD70" s="1" t="s">
        <v>91</v>
      </c>
    </row>
    <row r="71" spans="1:30" ht="19" x14ac:dyDescent="0.25">
      <c r="A71" s="5" t="s">
        <v>62</v>
      </c>
      <c r="B71" s="1">
        <v>400000</v>
      </c>
      <c r="C71" s="1">
        <v>400000</v>
      </c>
      <c r="D71" s="1">
        <v>6400000</v>
      </c>
      <c r="E71" s="1">
        <v>6800000</v>
      </c>
      <c r="F71" s="1">
        <v>10200000</v>
      </c>
      <c r="G71" s="1">
        <v>11000000</v>
      </c>
      <c r="H71" s="1">
        <v>12164347</v>
      </c>
      <c r="I71" s="1">
        <v>12901044</v>
      </c>
      <c r="J71" s="1">
        <v>12192730</v>
      </c>
      <c r="K71" s="1">
        <v>9979369</v>
      </c>
      <c r="L71" s="1">
        <v>9979369</v>
      </c>
      <c r="M71" s="1">
        <v>11710787</v>
      </c>
      <c r="N71" s="1">
        <v>14292453</v>
      </c>
      <c r="O71" s="1">
        <v>21349816</v>
      </c>
      <c r="P71" s="1">
        <v>52654392</v>
      </c>
      <c r="Q71" s="1">
        <v>54530319</v>
      </c>
      <c r="R71" s="1">
        <v>76203000</v>
      </c>
      <c r="S71" s="1">
        <v>61446000</v>
      </c>
      <c r="T71" s="1">
        <v>61212000</v>
      </c>
      <c r="U71" s="1">
        <v>61506000</v>
      </c>
      <c r="V71" s="1">
        <v>66727000</v>
      </c>
      <c r="W71" s="1">
        <v>69729000</v>
      </c>
      <c r="X71" s="1">
        <v>64552000</v>
      </c>
      <c r="Y71" s="1">
        <v>108727000</v>
      </c>
      <c r="Z71" s="1">
        <v>64212000</v>
      </c>
      <c r="AA71" s="1">
        <v>61312000</v>
      </c>
      <c r="AB71" s="1">
        <v>110778000</v>
      </c>
      <c r="AC71" s="1">
        <v>50040000</v>
      </c>
      <c r="AD71" s="1">
        <v>67227000</v>
      </c>
    </row>
    <row r="72" spans="1:30" ht="19" x14ac:dyDescent="0.25">
      <c r="A72" s="6" t="s">
        <v>63</v>
      </c>
      <c r="B72" s="10">
        <v>-100000</v>
      </c>
      <c r="C72" s="10">
        <v>200000</v>
      </c>
      <c r="D72" s="10">
        <v>5300000</v>
      </c>
      <c r="E72" s="10">
        <v>4200000</v>
      </c>
      <c r="F72" s="10">
        <v>6600000</v>
      </c>
      <c r="G72" s="10">
        <v>7300000</v>
      </c>
      <c r="H72" s="10">
        <v>8665369</v>
      </c>
      <c r="I72" s="10">
        <v>10298968</v>
      </c>
      <c r="J72" s="10">
        <v>6942076</v>
      </c>
      <c r="K72" s="10">
        <v>7381721</v>
      </c>
      <c r="L72" s="10">
        <v>8145976</v>
      </c>
      <c r="M72" s="10">
        <v>9574936</v>
      </c>
      <c r="N72" s="10">
        <v>13908488</v>
      </c>
      <c r="O72" s="10">
        <v>24042854</v>
      </c>
      <c r="P72" s="10">
        <v>63002588</v>
      </c>
      <c r="Q72" s="10">
        <v>70091862</v>
      </c>
      <c r="R72" s="10">
        <v>69939000</v>
      </c>
      <c r="S72" s="10">
        <v>76913000</v>
      </c>
      <c r="T72" s="10">
        <v>84306000</v>
      </c>
      <c r="U72" s="10">
        <v>93781000</v>
      </c>
      <c r="V72" s="10">
        <v>110289000</v>
      </c>
      <c r="W72" s="10">
        <v>122623000</v>
      </c>
      <c r="X72" s="10">
        <v>127558000</v>
      </c>
      <c r="Y72" s="10">
        <v>132745000</v>
      </c>
      <c r="Z72" s="10">
        <v>154269000</v>
      </c>
      <c r="AA72" s="10">
        <v>168457000</v>
      </c>
      <c r="AB72" s="10">
        <v>152721000</v>
      </c>
      <c r="AC72" s="10">
        <v>179823000</v>
      </c>
      <c r="AD72" s="10">
        <v>241269000</v>
      </c>
    </row>
    <row r="73" spans="1:30" ht="20" thickBot="1" x14ac:dyDescent="0.3">
      <c r="A73" s="7" t="s">
        <v>64</v>
      </c>
      <c r="B73" s="11">
        <v>600000</v>
      </c>
      <c r="C73" s="11">
        <v>1400000</v>
      </c>
      <c r="D73" s="11">
        <v>6100000</v>
      </c>
      <c r="E73" s="11">
        <v>7100000</v>
      </c>
      <c r="F73" s="11">
        <v>14900000</v>
      </c>
      <c r="G73" s="11">
        <v>12600000</v>
      </c>
      <c r="H73" s="11">
        <v>13349247</v>
      </c>
      <c r="I73" s="11">
        <v>14869684</v>
      </c>
      <c r="J73" s="11">
        <v>12357156</v>
      </c>
      <c r="K73" s="11">
        <v>12219480</v>
      </c>
      <c r="L73" s="11">
        <v>13158951</v>
      </c>
      <c r="M73" s="11">
        <v>24997681</v>
      </c>
      <c r="N73" s="11">
        <v>30602875</v>
      </c>
      <c r="O73" s="11">
        <v>46895032</v>
      </c>
      <c r="P73" s="11">
        <v>133710710</v>
      </c>
      <c r="Q73" s="11">
        <v>141725262</v>
      </c>
      <c r="R73" s="11">
        <v>145057000</v>
      </c>
      <c r="S73" s="11">
        <v>150068000</v>
      </c>
      <c r="T73" s="11">
        <v>189087000</v>
      </c>
      <c r="U73" s="11">
        <v>219799000</v>
      </c>
      <c r="V73" s="11">
        <v>236132000</v>
      </c>
      <c r="W73" s="11">
        <v>264949000</v>
      </c>
      <c r="X73" s="11">
        <v>273904000</v>
      </c>
      <c r="Y73" s="11">
        <v>297404000</v>
      </c>
      <c r="Z73" s="11">
        <v>330669000</v>
      </c>
      <c r="AA73" s="11">
        <v>353793000</v>
      </c>
      <c r="AB73" s="11">
        <v>361347000</v>
      </c>
      <c r="AC73" s="11">
        <v>365219000</v>
      </c>
      <c r="AD73" s="11">
        <v>530249000</v>
      </c>
    </row>
    <row r="74" spans="1:30"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row>
    <row r="75" spans="1:30"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row>
    <row r="76" spans="1:30" ht="19" x14ac:dyDescent="0.25">
      <c r="A76" s="5" t="s">
        <v>66</v>
      </c>
      <c r="B76" s="1">
        <v>200000</v>
      </c>
      <c r="C76" s="1">
        <v>400000</v>
      </c>
      <c r="D76" s="1">
        <v>-700000</v>
      </c>
      <c r="E76" s="1">
        <v>-1100000</v>
      </c>
      <c r="F76" s="1">
        <v>-600000</v>
      </c>
      <c r="G76" s="1" t="s">
        <v>91</v>
      </c>
      <c r="H76" s="1">
        <v>202587</v>
      </c>
      <c r="I76" s="1">
        <v>1314718</v>
      </c>
      <c r="J76" s="1">
        <v>-2271180</v>
      </c>
      <c r="K76" s="1">
        <v>438294</v>
      </c>
      <c r="L76" s="1">
        <v>775253</v>
      </c>
      <c r="M76" s="1">
        <v>-358841</v>
      </c>
      <c r="N76" s="1">
        <v>1752714</v>
      </c>
      <c r="O76" s="1">
        <v>3054899</v>
      </c>
      <c r="P76" s="1">
        <v>7660667</v>
      </c>
      <c r="Q76" s="1">
        <v>6628601</v>
      </c>
      <c r="R76" s="1">
        <v>-7901000</v>
      </c>
      <c r="S76" s="1">
        <v>10252000</v>
      </c>
      <c r="T76" s="1">
        <v>7962000</v>
      </c>
      <c r="U76" s="1">
        <v>9545000</v>
      </c>
      <c r="V76" s="1">
        <v>10997000</v>
      </c>
      <c r="W76" s="1">
        <v>8989000</v>
      </c>
      <c r="X76" s="1">
        <v>10340000</v>
      </c>
      <c r="Y76" s="1">
        <v>8282000</v>
      </c>
      <c r="Z76" s="1">
        <v>21794000</v>
      </c>
      <c r="AA76" s="1">
        <v>19326000</v>
      </c>
      <c r="AB76" s="1">
        <v>-6312000</v>
      </c>
      <c r="AC76" s="1">
        <v>30150000</v>
      </c>
      <c r="AD76" s="1">
        <v>46060000</v>
      </c>
    </row>
    <row r="77" spans="1:30" ht="19" x14ac:dyDescent="0.25">
      <c r="A77" s="5" t="s">
        <v>13</v>
      </c>
      <c r="B77" s="1">
        <v>100000</v>
      </c>
      <c r="C77" s="1">
        <v>100000</v>
      </c>
      <c r="D77" s="1">
        <v>100000</v>
      </c>
      <c r="E77" s="1">
        <v>300000</v>
      </c>
      <c r="F77" s="1">
        <v>400000</v>
      </c>
      <c r="G77" s="1">
        <v>600000</v>
      </c>
      <c r="H77" s="1">
        <v>585797</v>
      </c>
      <c r="I77" s="1">
        <v>849862</v>
      </c>
      <c r="J77" s="1">
        <v>490021</v>
      </c>
      <c r="K77" s="1">
        <v>531561</v>
      </c>
      <c r="L77" s="1">
        <v>544137</v>
      </c>
      <c r="M77" s="1">
        <v>590466</v>
      </c>
      <c r="N77" s="1">
        <v>1084799</v>
      </c>
      <c r="O77" s="1">
        <v>1632202</v>
      </c>
      <c r="P77" s="1">
        <v>2541683</v>
      </c>
      <c r="Q77" s="1">
        <v>3205205</v>
      </c>
      <c r="R77" s="1">
        <v>3743000</v>
      </c>
      <c r="S77" s="1">
        <v>3904000</v>
      </c>
      <c r="T77" s="1">
        <v>4921000</v>
      </c>
      <c r="U77" s="1">
        <v>5314000</v>
      </c>
      <c r="V77" s="1">
        <v>6316000</v>
      </c>
      <c r="W77" s="1">
        <v>6894000</v>
      </c>
      <c r="X77" s="1">
        <v>7173000</v>
      </c>
      <c r="Y77" s="1">
        <v>6920000</v>
      </c>
      <c r="Z77" s="1">
        <v>7722000</v>
      </c>
      <c r="AA77" s="1">
        <v>9072000</v>
      </c>
      <c r="AB77" s="1">
        <v>8836000</v>
      </c>
      <c r="AC77" s="1">
        <v>8238000</v>
      </c>
      <c r="AD77" s="1">
        <v>12391000</v>
      </c>
    </row>
    <row r="78" spans="1:30" ht="19" x14ac:dyDescent="0.25">
      <c r="A78" s="5" t="s">
        <v>67</v>
      </c>
      <c r="B78" s="1">
        <v>100000</v>
      </c>
      <c r="C78" s="1" t="s">
        <v>91</v>
      </c>
      <c r="D78" s="1" t="s">
        <v>91</v>
      </c>
      <c r="E78" s="1" t="s">
        <v>91</v>
      </c>
      <c r="F78" s="1" t="s">
        <v>91</v>
      </c>
      <c r="G78" s="1" t="s">
        <v>91</v>
      </c>
      <c r="H78" s="1" t="s">
        <v>91</v>
      </c>
      <c r="I78" s="1" t="s">
        <v>91</v>
      </c>
      <c r="J78" s="1" t="s">
        <v>91</v>
      </c>
      <c r="K78" s="1" t="s">
        <v>91</v>
      </c>
      <c r="L78" s="1" t="s">
        <v>91</v>
      </c>
      <c r="M78" s="1" t="s">
        <v>91</v>
      </c>
      <c r="N78" s="1" t="s">
        <v>91</v>
      </c>
      <c r="O78" s="1">
        <v>-200364</v>
      </c>
      <c r="P78" s="1">
        <v>1448472</v>
      </c>
      <c r="Q78" s="1">
        <v>853336</v>
      </c>
      <c r="R78" s="1">
        <v>-5506000</v>
      </c>
      <c r="S78" s="1">
        <v>3776000</v>
      </c>
      <c r="T78" s="1">
        <v>1855000</v>
      </c>
      <c r="U78" s="1">
        <v>261000</v>
      </c>
      <c r="V78" s="1">
        <v>937000</v>
      </c>
      <c r="W78" s="1">
        <v>-4232000</v>
      </c>
      <c r="X78" s="1">
        <v>1427000</v>
      </c>
      <c r="Y78" s="1">
        <v>2171000</v>
      </c>
      <c r="Z78" s="1">
        <v>-6775000</v>
      </c>
      <c r="AA78" s="1">
        <v>821000</v>
      </c>
      <c r="AB78" s="1">
        <v>-1268000</v>
      </c>
      <c r="AC78" s="1">
        <v>-1253000</v>
      </c>
      <c r="AD78" s="1">
        <v>3080000</v>
      </c>
    </row>
    <row r="79" spans="1:30"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v>157080</v>
      </c>
      <c r="Q79" s="1">
        <v>96171</v>
      </c>
      <c r="R79" s="1">
        <v>405000</v>
      </c>
      <c r="S79" s="1">
        <v>8000</v>
      </c>
      <c r="T79" s="1">
        <v>315000</v>
      </c>
      <c r="U79" s="1">
        <v>847000</v>
      </c>
      <c r="V79" s="1">
        <v>282000</v>
      </c>
      <c r="W79" s="1">
        <v>480000</v>
      </c>
      <c r="X79" s="1">
        <v>360000</v>
      </c>
      <c r="Y79" s="1" t="s">
        <v>91</v>
      </c>
      <c r="Z79" s="1" t="s">
        <v>91</v>
      </c>
      <c r="AA79" s="1" t="s">
        <v>91</v>
      </c>
      <c r="AB79" s="1" t="s">
        <v>91</v>
      </c>
      <c r="AC79" s="1" t="s">
        <v>91</v>
      </c>
      <c r="AD79" s="1">
        <v>2353000</v>
      </c>
    </row>
    <row r="80" spans="1:30" ht="19" x14ac:dyDescent="0.25">
      <c r="A80" s="14" t="s">
        <v>103</v>
      </c>
      <c r="B80" s="19" t="e">
        <f t="shared" ref="B80:AD80" si="8">B79/B3</f>
        <v>#VALUE!</v>
      </c>
      <c r="C80" s="19" t="e">
        <f t="shared" si="8"/>
        <v>#VALUE!</v>
      </c>
      <c r="D80" s="19" t="e">
        <f t="shared" si="8"/>
        <v>#VALUE!</v>
      </c>
      <c r="E80" s="19" t="e">
        <f t="shared" si="8"/>
        <v>#VALUE!</v>
      </c>
      <c r="F80" s="19" t="e">
        <f t="shared" si="8"/>
        <v>#VALUE!</v>
      </c>
      <c r="G80" s="19" t="e">
        <f t="shared" si="8"/>
        <v>#VALUE!</v>
      </c>
      <c r="H80" s="19" t="e">
        <f t="shared" si="8"/>
        <v>#VALUE!</v>
      </c>
      <c r="I80" s="19" t="e">
        <f t="shared" si="8"/>
        <v>#VALUE!</v>
      </c>
      <c r="J80" s="19" t="e">
        <f t="shared" si="8"/>
        <v>#VALUE!</v>
      </c>
      <c r="K80" s="19" t="e">
        <f t="shared" si="8"/>
        <v>#VALUE!</v>
      </c>
      <c r="L80" s="19" t="e">
        <f t="shared" si="8"/>
        <v>#VALUE!</v>
      </c>
      <c r="M80" s="19" t="e">
        <f t="shared" si="8"/>
        <v>#VALUE!</v>
      </c>
      <c r="N80" s="19" t="e">
        <f t="shared" si="8"/>
        <v>#VALUE!</v>
      </c>
      <c r="O80" s="19" t="e">
        <f t="shared" si="8"/>
        <v>#VALUE!</v>
      </c>
      <c r="P80" s="19">
        <f t="shared" si="8"/>
        <v>2.6210807309217676E-3</v>
      </c>
      <c r="Q80" s="19">
        <f t="shared" si="8"/>
        <v>1.27972743858796E-3</v>
      </c>
      <c r="R80" s="19">
        <f t="shared" si="8"/>
        <v>4.8802824538783183E-3</v>
      </c>
      <c r="S80" s="19">
        <f t="shared" si="8"/>
        <v>9.5818710998790289E-5</v>
      </c>
      <c r="T80" s="19">
        <f t="shared" si="8"/>
        <v>3.3081285444234404E-3</v>
      </c>
      <c r="U80" s="19">
        <f t="shared" si="8"/>
        <v>7.5484813917011265E-3</v>
      </c>
      <c r="V80" s="19">
        <f t="shared" si="8"/>
        <v>2.1831018626039295E-3</v>
      </c>
      <c r="W80" s="19">
        <f t="shared" si="8"/>
        <v>3.317964705150449E-3</v>
      </c>
      <c r="X80" s="19">
        <f t="shared" si="8"/>
        <v>2.6694349695981019E-3</v>
      </c>
      <c r="Y80" s="19" t="e">
        <f t="shared" si="8"/>
        <v>#VALUE!</v>
      </c>
      <c r="Z80" s="19" t="e">
        <f t="shared" si="8"/>
        <v>#VALUE!</v>
      </c>
      <c r="AA80" s="19" t="e">
        <f t="shared" si="8"/>
        <v>#VALUE!</v>
      </c>
      <c r="AB80" s="19" t="e">
        <f t="shared" si="8"/>
        <v>#VALUE!</v>
      </c>
      <c r="AC80" s="19" t="e">
        <f t="shared" si="8"/>
        <v>#VALUE!</v>
      </c>
      <c r="AD80" s="19">
        <f t="shared" si="8"/>
        <v>8.7923174650624027E-3</v>
      </c>
    </row>
    <row r="81" spans="1:38" ht="19" x14ac:dyDescent="0.25">
      <c r="A81" s="5" t="s">
        <v>69</v>
      </c>
      <c r="B81" s="1">
        <v>-200000</v>
      </c>
      <c r="C81" s="1">
        <v>200000</v>
      </c>
      <c r="D81" s="1">
        <v>-700000</v>
      </c>
      <c r="E81" s="1">
        <v>200000</v>
      </c>
      <c r="F81" s="1">
        <v>500000</v>
      </c>
      <c r="G81" s="1">
        <v>-1100000</v>
      </c>
      <c r="H81" s="1">
        <v>344506</v>
      </c>
      <c r="I81" s="1">
        <v>-55177</v>
      </c>
      <c r="J81" s="1">
        <v>200956</v>
      </c>
      <c r="K81" s="1">
        <v>-3351</v>
      </c>
      <c r="L81" s="1">
        <v>-806418</v>
      </c>
      <c r="M81" s="1">
        <v>1758837</v>
      </c>
      <c r="N81" s="1">
        <v>-403340</v>
      </c>
      <c r="O81" s="1">
        <v>-125423</v>
      </c>
      <c r="P81" s="1">
        <v>2529547</v>
      </c>
      <c r="Q81" s="1">
        <v>-1896973</v>
      </c>
      <c r="R81" s="1">
        <v>5312000</v>
      </c>
      <c r="S81" s="1">
        <v>672000</v>
      </c>
      <c r="T81" s="1">
        <v>3107000</v>
      </c>
      <c r="U81" s="1">
        <v>2341000</v>
      </c>
      <c r="V81" s="1">
        <v>4900000</v>
      </c>
      <c r="W81" s="1">
        <v>1951000</v>
      </c>
      <c r="X81" s="1">
        <v>-503000</v>
      </c>
      <c r="Y81" s="1">
        <v>-3645000</v>
      </c>
      <c r="Z81" s="1">
        <v>-5156000</v>
      </c>
      <c r="AA81" s="1">
        <v>3941000</v>
      </c>
      <c r="AB81" s="1">
        <v>1380000</v>
      </c>
      <c r="AC81" s="1">
        <v>-3451000</v>
      </c>
      <c r="AD81" s="1">
        <v>-1421000</v>
      </c>
    </row>
    <row r="82" spans="1:38"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v>116130</v>
      </c>
      <c r="Q82" s="1">
        <v>-58296</v>
      </c>
      <c r="R82" s="1">
        <v>-179000</v>
      </c>
      <c r="S82" s="1">
        <v>-1075000</v>
      </c>
      <c r="T82" s="1" t="s">
        <v>91</v>
      </c>
      <c r="U82" s="1">
        <v>337000</v>
      </c>
      <c r="V82" s="1">
        <v>-36000</v>
      </c>
      <c r="W82" s="1">
        <v>-339000</v>
      </c>
      <c r="X82" s="1">
        <v>-3986000</v>
      </c>
      <c r="Y82" s="1">
        <v>878000</v>
      </c>
      <c r="Z82" s="1">
        <v>-3622000</v>
      </c>
      <c r="AA82" s="1">
        <v>1576000</v>
      </c>
      <c r="AB82" s="1">
        <v>-294000</v>
      </c>
      <c r="AC82" s="1">
        <v>-769000</v>
      </c>
      <c r="AD82" s="1">
        <v>-175000</v>
      </c>
    </row>
    <row r="83" spans="1:38" ht="21" x14ac:dyDescent="0.25">
      <c r="A83" s="5" t="s">
        <v>34</v>
      </c>
      <c r="B83" s="1" t="s">
        <v>91</v>
      </c>
      <c r="C83" s="1" t="s">
        <v>91</v>
      </c>
      <c r="D83" s="1" t="s">
        <v>91</v>
      </c>
      <c r="E83" s="1" t="s">
        <v>91</v>
      </c>
      <c r="F83" s="1" t="s">
        <v>91</v>
      </c>
      <c r="G83" s="1">
        <v>-100000</v>
      </c>
      <c r="H83" s="1">
        <v>-84698</v>
      </c>
      <c r="I83" s="1">
        <v>4171</v>
      </c>
      <c r="J83" s="1">
        <v>-14502</v>
      </c>
      <c r="K83" s="1">
        <v>-19649</v>
      </c>
      <c r="L83" s="1">
        <v>-42942</v>
      </c>
      <c r="M83" s="1">
        <v>-24880</v>
      </c>
      <c r="N83" s="1">
        <v>-3777</v>
      </c>
      <c r="O83" s="1">
        <v>-40418</v>
      </c>
      <c r="P83" s="1">
        <v>-832177</v>
      </c>
      <c r="Q83" s="1">
        <v>470269</v>
      </c>
      <c r="R83" s="1">
        <v>-10000</v>
      </c>
      <c r="S83" s="1">
        <v>-91000</v>
      </c>
      <c r="T83" s="1">
        <v>-34000</v>
      </c>
      <c r="U83" s="1">
        <v>-202000</v>
      </c>
      <c r="V83" s="1">
        <v>-407000</v>
      </c>
      <c r="W83" s="1">
        <v>54000</v>
      </c>
      <c r="X83" s="1">
        <v>-124000</v>
      </c>
      <c r="Y83" s="1">
        <v>-19000</v>
      </c>
      <c r="Z83" s="1">
        <v>-199000</v>
      </c>
      <c r="AA83" s="1">
        <v>-216000</v>
      </c>
      <c r="AB83" s="1">
        <v>226000</v>
      </c>
      <c r="AC83" s="1">
        <v>-287000</v>
      </c>
      <c r="AD83" s="1">
        <v>-554000</v>
      </c>
      <c r="AK83" s="66" t="s">
        <v>135</v>
      </c>
      <c r="AL83" s="67"/>
    </row>
    <row r="84" spans="1:38"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v>-6515000</v>
      </c>
      <c r="AD84" s="1">
        <v>-1079000</v>
      </c>
      <c r="AK84" s="68" t="s">
        <v>136</v>
      </c>
      <c r="AL84" s="68"/>
    </row>
    <row r="85" spans="1:38"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X85" s="1" t="s">
        <v>91</v>
      </c>
      <c r="Y85" s="1" t="s">
        <v>91</v>
      </c>
      <c r="Z85" s="1" t="s">
        <v>91</v>
      </c>
      <c r="AA85" s="1" t="s">
        <v>91</v>
      </c>
      <c r="AB85" s="1" t="s">
        <v>91</v>
      </c>
      <c r="AC85" s="1" t="s">
        <v>91</v>
      </c>
      <c r="AD85" s="1" t="s">
        <v>91</v>
      </c>
      <c r="AK85" s="25" t="s">
        <v>137</v>
      </c>
      <c r="AL85" s="26">
        <f>AD17</f>
        <v>11950000</v>
      </c>
    </row>
    <row r="86" spans="1:38" ht="20" x14ac:dyDescent="0.25">
      <c r="A86" s="5" t="s">
        <v>72</v>
      </c>
      <c r="B86" s="1" t="s">
        <v>91</v>
      </c>
      <c r="C86" s="1">
        <v>100000</v>
      </c>
      <c r="D86" s="1">
        <v>300000</v>
      </c>
      <c r="E86" s="1">
        <v>100000</v>
      </c>
      <c r="F86" s="1">
        <v>100000</v>
      </c>
      <c r="G86" s="1" t="s">
        <v>91</v>
      </c>
      <c r="H86" s="1">
        <v>-358813</v>
      </c>
      <c r="I86" s="1">
        <v>60087</v>
      </c>
      <c r="J86" s="1">
        <v>2865748</v>
      </c>
      <c r="K86" s="1">
        <v>-380178</v>
      </c>
      <c r="L86" s="1">
        <v>-15031</v>
      </c>
      <c r="M86" s="1">
        <v>-279064</v>
      </c>
      <c r="N86" s="1">
        <v>291597</v>
      </c>
      <c r="O86" s="1">
        <v>21807</v>
      </c>
      <c r="P86" s="1">
        <v>481818</v>
      </c>
      <c r="Q86" s="1">
        <v>39990</v>
      </c>
      <c r="R86" s="1">
        <v>21324000</v>
      </c>
      <c r="S86" s="1">
        <v>269000</v>
      </c>
      <c r="T86" s="1">
        <v>265000</v>
      </c>
      <c r="U86" s="1">
        <v>73000</v>
      </c>
      <c r="V86" s="1">
        <v>-2997000</v>
      </c>
      <c r="W86" s="1">
        <v>2282000</v>
      </c>
      <c r="X86" s="1">
        <v>4234000</v>
      </c>
      <c r="Y86" s="1">
        <v>7366000</v>
      </c>
      <c r="Z86" s="1">
        <v>8184000</v>
      </c>
      <c r="AA86" s="1">
        <v>4014000</v>
      </c>
      <c r="AB86" s="1">
        <v>12996000</v>
      </c>
      <c r="AC86" s="1">
        <v>8307000</v>
      </c>
      <c r="AD86" s="1">
        <v>2046000</v>
      </c>
      <c r="AK86" s="25" t="s">
        <v>138</v>
      </c>
      <c r="AL86" s="26">
        <f>AD56</f>
        <v>14691000</v>
      </c>
    </row>
    <row r="87" spans="1:38" ht="20" x14ac:dyDescent="0.25">
      <c r="A87" s="6" t="s">
        <v>73</v>
      </c>
      <c r="B87" s="10">
        <v>200000</v>
      </c>
      <c r="C87" s="10">
        <v>800000</v>
      </c>
      <c r="D87" s="10">
        <v>-1000000</v>
      </c>
      <c r="E87" s="10">
        <v>-500000</v>
      </c>
      <c r="F87" s="10">
        <v>400000</v>
      </c>
      <c r="G87" s="10">
        <v>-500000</v>
      </c>
      <c r="H87" s="10">
        <v>774077</v>
      </c>
      <c r="I87" s="10">
        <v>2169490</v>
      </c>
      <c r="J87" s="10">
        <v>1285545</v>
      </c>
      <c r="K87" s="10">
        <v>586326</v>
      </c>
      <c r="L87" s="10">
        <v>497941</v>
      </c>
      <c r="M87" s="10">
        <v>1711398</v>
      </c>
      <c r="N87" s="10">
        <v>2725770</v>
      </c>
      <c r="O87" s="10">
        <v>4383121</v>
      </c>
      <c r="P87" s="10">
        <v>14819267</v>
      </c>
      <c r="Q87" s="10">
        <v>8926330</v>
      </c>
      <c r="R87" s="10">
        <v>17377000</v>
      </c>
      <c r="S87" s="10">
        <v>18881000</v>
      </c>
      <c r="T87" s="10">
        <v>18425000</v>
      </c>
      <c r="U87" s="10">
        <v>18381000</v>
      </c>
      <c r="V87" s="10">
        <v>20435000</v>
      </c>
      <c r="W87" s="10">
        <v>16364000</v>
      </c>
      <c r="X87" s="10">
        <v>23031000</v>
      </c>
      <c r="Y87" s="10">
        <v>21094000</v>
      </c>
      <c r="Z87" s="10">
        <v>25769000</v>
      </c>
      <c r="AA87" s="10">
        <v>37174000</v>
      </c>
      <c r="AB87" s="10">
        <v>15632000</v>
      </c>
      <c r="AC87" s="10">
        <v>41991000</v>
      </c>
      <c r="AD87" s="10">
        <v>64509000</v>
      </c>
      <c r="AK87" s="25" t="s">
        <v>139</v>
      </c>
      <c r="AL87" s="26">
        <f>AD61</f>
        <v>226568000</v>
      </c>
    </row>
    <row r="88" spans="1:38" ht="20" x14ac:dyDescent="0.25">
      <c r="A88" s="5" t="s">
        <v>74</v>
      </c>
      <c r="B88" s="1">
        <v>-100000</v>
      </c>
      <c r="C88" s="1">
        <v>-400000</v>
      </c>
      <c r="D88" s="1">
        <v>-1800000</v>
      </c>
      <c r="E88" s="1">
        <v>-4300000</v>
      </c>
      <c r="F88" s="1">
        <v>-1100000</v>
      </c>
      <c r="G88" s="1">
        <v>-1000000</v>
      </c>
      <c r="H88" s="1">
        <v>-552261</v>
      </c>
      <c r="I88" s="1">
        <v>-1736340</v>
      </c>
      <c r="J88" s="1">
        <v>-933472</v>
      </c>
      <c r="K88" s="1">
        <v>-162220</v>
      </c>
      <c r="L88" s="1">
        <v>-423964</v>
      </c>
      <c r="M88" s="1">
        <v>-4242368</v>
      </c>
      <c r="N88" s="1">
        <v>-1641735</v>
      </c>
      <c r="O88" s="1">
        <v>-1210136</v>
      </c>
      <c r="P88" s="1">
        <v>-3139391</v>
      </c>
      <c r="Q88" s="1">
        <v>-2114654</v>
      </c>
      <c r="R88" s="1">
        <v>-5956000</v>
      </c>
      <c r="S88" s="1">
        <v>-11533000</v>
      </c>
      <c r="T88" s="1">
        <v>-6898000</v>
      </c>
      <c r="U88" s="1">
        <v>-9675000</v>
      </c>
      <c r="V88" s="1">
        <v>-16034000</v>
      </c>
      <c r="W88" s="1">
        <v>-19259000</v>
      </c>
      <c r="X88" s="1">
        <v>-28148000</v>
      </c>
      <c r="Y88" s="1">
        <v>-11249000</v>
      </c>
      <c r="Z88" s="1">
        <v>-25263000</v>
      </c>
      <c r="AA88" s="1">
        <v>-20708000</v>
      </c>
      <c r="AB88" s="1">
        <v>-5736000</v>
      </c>
      <c r="AC88" s="1">
        <v>-13511000</v>
      </c>
      <c r="AD88" s="1">
        <v>-24003000</v>
      </c>
      <c r="AK88" s="47" t="s">
        <v>140</v>
      </c>
      <c r="AL88" s="48">
        <f>AL85/(AL86+AL87)</f>
        <v>4.9531830936876964E-2</v>
      </c>
    </row>
    <row r="89" spans="1:38" ht="20" customHeight="1" x14ac:dyDescent="0.25">
      <c r="A89" s="14" t="s">
        <v>104</v>
      </c>
      <c r="B89" s="19">
        <f t="shared" ref="B89:AD89" si="9">(-1*B88)/B3</f>
        <v>2.1739130434782608E-2</v>
      </c>
      <c r="C89" s="19">
        <f t="shared" si="9"/>
        <v>8.8888888888888892E-2</v>
      </c>
      <c r="D89" s="19">
        <f t="shared" si="9"/>
        <v>0.39130434782608697</v>
      </c>
      <c r="E89" s="19">
        <f t="shared" si="9"/>
        <v>0.68253968253968256</v>
      </c>
      <c r="F89" s="19">
        <f t="shared" si="9"/>
        <v>0.14102564102564102</v>
      </c>
      <c r="G89" s="19">
        <f t="shared" si="9"/>
        <v>9.6153846153846159E-2</v>
      </c>
      <c r="H89" s="19">
        <f t="shared" si="9"/>
        <v>4.3350914601694469E-2</v>
      </c>
      <c r="I89" s="19">
        <f t="shared" si="9"/>
        <v>8.8320025782769887E-2</v>
      </c>
      <c r="J89" s="19">
        <f t="shared" si="9"/>
        <v>6.0002177755500277E-2</v>
      </c>
      <c r="K89" s="19">
        <f t="shared" si="9"/>
        <v>1.0771888624435401E-2</v>
      </c>
      <c r="L89" s="19">
        <f t="shared" si="9"/>
        <v>2.6564686368476968E-2</v>
      </c>
      <c r="M89" s="19">
        <f t="shared" si="9"/>
        <v>0.28617454984877305</v>
      </c>
      <c r="N89" s="19">
        <f t="shared" si="9"/>
        <v>6.7044578160480886E-2</v>
      </c>
      <c r="O89" s="19">
        <f t="shared" si="9"/>
        <v>3.7800283251608516E-2</v>
      </c>
      <c r="P89" s="19">
        <f t="shared" si="9"/>
        <v>5.2384754627764318E-2</v>
      </c>
      <c r="Q89" s="19">
        <f t="shared" si="9"/>
        <v>2.8139259724030984E-2</v>
      </c>
      <c r="R89" s="19">
        <f t="shared" si="9"/>
        <v>7.1770277272343863E-2</v>
      </c>
      <c r="S89" s="19">
        <f t="shared" si="9"/>
        <v>0.13813464924363106</v>
      </c>
      <c r="T89" s="19">
        <f t="shared" si="9"/>
        <v>7.2442764125183787E-2</v>
      </c>
      <c r="U89" s="19">
        <f t="shared" si="9"/>
        <v>8.6223798659632117E-2</v>
      </c>
      <c r="V89" s="19">
        <f t="shared" si="9"/>
        <v>0.12412714632975676</v>
      </c>
      <c r="W89" s="19">
        <f t="shared" si="9"/>
        <v>0.1331264213676927</v>
      </c>
      <c r="X89" s="19">
        <f t="shared" si="9"/>
        <v>0.20872015423402046</v>
      </c>
      <c r="Y89" s="19">
        <f t="shared" si="9"/>
        <v>7.76349933745583E-2</v>
      </c>
      <c r="Z89" s="19">
        <f t="shared" si="9"/>
        <v>0.15241812872553515</v>
      </c>
      <c r="AA89" s="19">
        <f t="shared" si="9"/>
        <v>0.11437155844227573</v>
      </c>
      <c r="AB89" s="19">
        <f t="shared" si="9"/>
        <v>4.3347162710557934E-2</v>
      </c>
      <c r="AC89" s="19">
        <f t="shared" si="9"/>
        <v>6.9195628348134267E-2</v>
      </c>
      <c r="AD89" s="19">
        <f t="shared" si="9"/>
        <v>8.9690606083252369E-2</v>
      </c>
      <c r="AK89" s="25" t="s">
        <v>105</v>
      </c>
      <c r="AL89" s="26">
        <f>AD27</f>
        <v>14071000</v>
      </c>
    </row>
    <row r="90" spans="1:38" ht="20" x14ac:dyDescent="0.25">
      <c r="A90" s="5" t="s">
        <v>75</v>
      </c>
      <c r="B90" s="1" t="s">
        <v>91</v>
      </c>
      <c r="C90" s="1" t="s">
        <v>91</v>
      </c>
      <c r="D90" s="1" t="s">
        <v>91</v>
      </c>
      <c r="E90" s="1" t="s">
        <v>91</v>
      </c>
      <c r="F90" s="1" t="s">
        <v>91</v>
      </c>
      <c r="G90" s="1" t="s">
        <v>91</v>
      </c>
      <c r="H90" s="1" t="s">
        <v>91</v>
      </c>
      <c r="I90" s="1" t="s">
        <v>91</v>
      </c>
      <c r="J90" s="1" t="s">
        <v>91</v>
      </c>
      <c r="K90" s="1">
        <v>-150000</v>
      </c>
      <c r="L90" s="1">
        <v>-265000</v>
      </c>
      <c r="M90" s="1">
        <v>-2650000</v>
      </c>
      <c r="N90" s="1">
        <v>-1497641</v>
      </c>
      <c r="O90" s="1">
        <v>-5572245</v>
      </c>
      <c r="P90" s="1">
        <v>-35672404</v>
      </c>
      <c r="Q90" s="1">
        <v>-2433579</v>
      </c>
      <c r="R90" s="1">
        <v>-5851000</v>
      </c>
      <c r="S90" s="1">
        <v>-4281000</v>
      </c>
      <c r="T90" s="1">
        <v>-4882000</v>
      </c>
      <c r="U90" s="1">
        <v>-1790000</v>
      </c>
      <c r="V90" s="1">
        <v>-500000</v>
      </c>
      <c r="W90" s="1">
        <v>-2328000</v>
      </c>
      <c r="X90" s="1" t="s">
        <v>91</v>
      </c>
      <c r="Y90" s="1">
        <v>-9527000</v>
      </c>
      <c r="Z90" s="1">
        <v>-2034000</v>
      </c>
      <c r="AA90" s="1">
        <v>-6277000</v>
      </c>
      <c r="AB90" s="1">
        <v>2221000</v>
      </c>
      <c r="AC90" s="1">
        <v>5415000</v>
      </c>
      <c r="AD90" s="1">
        <v>-44624000</v>
      </c>
      <c r="AK90" s="25" t="s">
        <v>19</v>
      </c>
      <c r="AL90" s="26">
        <f>AD25</f>
        <v>60131000</v>
      </c>
    </row>
    <row r="91" spans="1:38"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v>-1009000</v>
      </c>
      <c r="S91" s="1">
        <v>-505000</v>
      </c>
      <c r="T91" s="1">
        <v>-500000</v>
      </c>
      <c r="U91" s="1">
        <v>-600000</v>
      </c>
      <c r="V91" s="1" t="s">
        <v>91</v>
      </c>
      <c r="W91" s="1" t="s">
        <v>91</v>
      </c>
      <c r="X91" s="1" t="s">
        <v>91</v>
      </c>
      <c r="Y91" s="1" t="s">
        <v>91</v>
      </c>
      <c r="Z91" s="1" t="s">
        <v>91</v>
      </c>
      <c r="AA91" s="1" t="s">
        <v>91</v>
      </c>
      <c r="AB91" s="1" t="s">
        <v>91</v>
      </c>
      <c r="AC91" s="1" t="s">
        <v>91</v>
      </c>
      <c r="AD91" s="1" t="s">
        <v>91</v>
      </c>
      <c r="AK91" s="47" t="s">
        <v>141</v>
      </c>
      <c r="AL91" s="48">
        <f>AL89/AL90</f>
        <v>0.2340057541035406</v>
      </c>
    </row>
    <row r="92" spans="1:38" ht="20" x14ac:dyDescent="0.25">
      <c r="A92" s="5" t="s">
        <v>77</v>
      </c>
      <c r="B92" s="1" t="s">
        <v>91</v>
      </c>
      <c r="C92" s="1" t="s">
        <v>91</v>
      </c>
      <c r="D92" s="1" t="s">
        <v>91</v>
      </c>
      <c r="E92" s="1" t="s">
        <v>91</v>
      </c>
      <c r="F92" s="1" t="s">
        <v>91</v>
      </c>
      <c r="G92" s="1" t="s">
        <v>91</v>
      </c>
      <c r="H92" s="1" t="s">
        <v>91</v>
      </c>
      <c r="I92" s="1" t="s">
        <v>91</v>
      </c>
      <c r="J92" s="1" t="s">
        <v>91</v>
      </c>
      <c r="K92" s="1" t="s">
        <v>91</v>
      </c>
      <c r="L92" s="1">
        <v>21459</v>
      </c>
      <c r="M92" s="1" t="s">
        <v>91</v>
      </c>
      <c r="N92" s="1" t="s">
        <v>91</v>
      </c>
      <c r="O92" s="1" t="s">
        <v>91</v>
      </c>
      <c r="P92" s="1" t="s">
        <v>91</v>
      </c>
      <c r="Q92" s="1" t="s">
        <v>91</v>
      </c>
      <c r="R92" s="1" t="s">
        <v>91</v>
      </c>
      <c r="S92" s="1" t="s">
        <v>91</v>
      </c>
      <c r="T92" s="1" t="s">
        <v>91</v>
      </c>
      <c r="U92" s="1">
        <v>500000</v>
      </c>
      <c r="V92" s="1" t="s">
        <v>91</v>
      </c>
      <c r="W92" s="1" t="s">
        <v>91</v>
      </c>
      <c r="X92" s="1">
        <v>621000</v>
      </c>
      <c r="Y92" s="1" t="s">
        <v>91</v>
      </c>
      <c r="Z92" s="1" t="s">
        <v>91</v>
      </c>
      <c r="AA92" s="1" t="s">
        <v>91</v>
      </c>
      <c r="AB92" s="1" t="s">
        <v>91</v>
      </c>
      <c r="AC92" s="1" t="s">
        <v>91</v>
      </c>
      <c r="AD92" s="1" t="s">
        <v>91</v>
      </c>
      <c r="AK92" s="47" t="s">
        <v>142</v>
      </c>
      <c r="AL92" s="48">
        <f>AL88*(1-AL91)</f>
        <v>3.7941097486363984E-2</v>
      </c>
    </row>
    <row r="93" spans="1:38" ht="19" x14ac:dyDescent="0.25">
      <c r="A93" s="5" t="s">
        <v>78</v>
      </c>
      <c r="B93" s="1" t="s">
        <v>91</v>
      </c>
      <c r="C93" s="1" t="s">
        <v>91</v>
      </c>
      <c r="D93" s="1" t="s">
        <v>91</v>
      </c>
      <c r="E93" s="1" t="s">
        <v>91</v>
      </c>
      <c r="F93" s="1">
        <v>800000</v>
      </c>
      <c r="G93" s="1">
        <v>1300000</v>
      </c>
      <c r="H93" s="1">
        <v>240136</v>
      </c>
      <c r="I93" s="1" t="s">
        <v>91</v>
      </c>
      <c r="J93" s="1">
        <v>7900</v>
      </c>
      <c r="K93" s="1">
        <v>227718</v>
      </c>
      <c r="L93" s="1">
        <v>18844</v>
      </c>
      <c r="M93" s="1">
        <v>584860</v>
      </c>
      <c r="N93" s="1">
        <v>28536</v>
      </c>
      <c r="O93" s="1">
        <v>-9413</v>
      </c>
      <c r="P93" s="1">
        <v>99991</v>
      </c>
      <c r="Q93" s="1">
        <v>739636</v>
      </c>
      <c r="R93" s="1" t="s">
        <v>91</v>
      </c>
      <c r="S93" s="1">
        <v>-21000</v>
      </c>
      <c r="T93" s="1">
        <v>1245000</v>
      </c>
      <c r="U93" s="1">
        <v>140000</v>
      </c>
      <c r="V93" s="1">
        <v>-4887000</v>
      </c>
      <c r="W93" s="1" t="s">
        <v>91</v>
      </c>
      <c r="X93" s="1">
        <v>3427000</v>
      </c>
      <c r="Y93" s="1">
        <v>2252000</v>
      </c>
      <c r="Z93" s="1">
        <v>958000</v>
      </c>
      <c r="AA93" s="1">
        <v>-162000</v>
      </c>
      <c r="AB93" s="1">
        <v>2521000</v>
      </c>
      <c r="AC93" s="1">
        <v>1282000</v>
      </c>
      <c r="AD93" s="1">
        <v>830000</v>
      </c>
      <c r="AK93" s="68" t="s">
        <v>143</v>
      </c>
      <c r="AL93" s="68"/>
    </row>
    <row r="94" spans="1:38" ht="20" x14ac:dyDescent="0.25">
      <c r="A94" s="6" t="s">
        <v>79</v>
      </c>
      <c r="B94" s="10">
        <v>-100000</v>
      </c>
      <c r="C94" s="10">
        <v>-400000</v>
      </c>
      <c r="D94" s="10">
        <v>-1800000</v>
      </c>
      <c r="E94" s="10">
        <v>-4300000</v>
      </c>
      <c r="F94" s="10">
        <v>-300000</v>
      </c>
      <c r="G94" s="10">
        <v>300000</v>
      </c>
      <c r="H94" s="10">
        <v>-312125</v>
      </c>
      <c r="I94" s="10">
        <v>-1736340</v>
      </c>
      <c r="J94" s="10">
        <v>-925572</v>
      </c>
      <c r="K94" s="10">
        <v>-84502</v>
      </c>
      <c r="L94" s="10">
        <v>-648661</v>
      </c>
      <c r="M94" s="10">
        <v>-6307508</v>
      </c>
      <c r="N94" s="10">
        <v>-3110840</v>
      </c>
      <c r="O94" s="10">
        <v>-6791794</v>
      </c>
      <c r="P94" s="10">
        <v>-38711804</v>
      </c>
      <c r="Q94" s="10">
        <v>-3808597</v>
      </c>
      <c r="R94" s="10">
        <v>-12816000</v>
      </c>
      <c r="S94" s="10">
        <v>-16340000</v>
      </c>
      <c r="T94" s="10">
        <v>-11035000</v>
      </c>
      <c r="U94" s="10">
        <v>-11425000</v>
      </c>
      <c r="V94" s="10">
        <v>-21421000</v>
      </c>
      <c r="W94" s="10">
        <v>-21587000</v>
      </c>
      <c r="X94" s="10">
        <v>-24100000</v>
      </c>
      <c r="Y94" s="10">
        <v>-18524000</v>
      </c>
      <c r="Z94" s="10">
        <v>-26339000</v>
      </c>
      <c r="AA94" s="10">
        <v>-27147000</v>
      </c>
      <c r="AB94" s="10">
        <v>-994000</v>
      </c>
      <c r="AC94" s="10">
        <v>-6814000</v>
      </c>
      <c r="AD94" s="10">
        <v>-67797000</v>
      </c>
      <c r="AK94" s="25" t="s">
        <v>144</v>
      </c>
      <c r="AL94" s="49">
        <f>[1]Treasuries!$C$8</f>
        <v>3.9120000000000002E-2</v>
      </c>
    </row>
    <row r="95" spans="1:38"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v>-3353776</v>
      </c>
      <c r="Q95" s="1">
        <v>-2808377</v>
      </c>
      <c r="R95" s="1">
        <v>-2478000</v>
      </c>
      <c r="S95" s="1">
        <v>-6855000</v>
      </c>
      <c r="T95" s="1">
        <v>-8406000</v>
      </c>
      <c r="U95" s="1">
        <v>-9341000</v>
      </c>
      <c r="V95" s="1">
        <v>-8473000</v>
      </c>
      <c r="W95" s="1">
        <v>-12579000</v>
      </c>
      <c r="X95" s="1">
        <v>-19159000</v>
      </c>
      <c r="Y95" s="1">
        <v>-13080000</v>
      </c>
      <c r="Z95" s="1">
        <v>-72830000</v>
      </c>
      <c r="AA95" s="1">
        <v>-22924000</v>
      </c>
      <c r="AB95" s="1">
        <v>-8832000</v>
      </c>
      <c r="AC95" s="1">
        <v>-49178000</v>
      </c>
      <c r="AD95" s="1">
        <v>-14894000</v>
      </c>
      <c r="AK95" s="50" t="s">
        <v>145</v>
      </c>
      <c r="AL95" s="51" cm="1">
        <f t="array" ref="AL95">_FV(A1,"Beta")</f>
        <v>1.6494</v>
      </c>
    </row>
    <row r="96" spans="1:38" ht="20" x14ac:dyDescent="0.25">
      <c r="A96" s="5" t="s">
        <v>81</v>
      </c>
      <c r="B96" s="1" t="s">
        <v>91</v>
      </c>
      <c r="C96" s="1" t="s">
        <v>91</v>
      </c>
      <c r="D96" s="1">
        <v>5600000</v>
      </c>
      <c r="E96" s="1">
        <v>200000</v>
      </c>
      <c r="F96" s="1">
        <v>800000</v>
      </c>
      <c r="G96" s="1">
        <v>600000</v>
      </c>
      <c r="H96" s="1">
        <v>175175</v>
      </c>
      <c r="I96" s="1" t="s">
        <v>91</v>
      </c>
      <c r="J96" s="1" t="s">
        <v>91</v>
      </c>
      <c r="K96" s="1" t="s">
        <v>91</v>
      </c>
      <c r="L96" s="1" t="s">
        <v>91</v>
      </c>
      <c r="M96" s="1">
        <v>928762</v>
      </c>
      <c r="N96" s="1">
        <v>560694</v>
      </c>
      <c r="O96" s="1">
        <v>6010971</v>
      </c>
      <c r="P96" s="1">
        <v>27352500</v>
      </c>
      <c r="Q96" s="1" t="s">
        <v>91</v>
      </c>
      <c r="R96" s="1" t="s">
        <v>91</v>
      </c>
      <c r="S96" s="1" t="s">
        <v>91</v>
      </c>
      <c r="T96" s="1" t="s">
        <v>91</v>
      </c>
      <c r="U96" s="1" t="s">
        <v>91</v>
      </c>
      <c r="V96" s="1" t="s">
        <v>91</v>
      </c>
      <c r="W96" s="1" t="s">
        <v>91</v>
      </c>
      <c r="X96" s="1" t="s">
        <v>91</v>
      </c>
      <c r="Y96" s="1" t="s">
        <v>91</v>
      </c>
      <c r="Z96" s="1" t="s">
        <v>91</v>
      </c>
      <c r="AA96" s="1" t="s">
        <v>91</v>
      </c>
      <c r="AB96" s="1" t="s">
        <v>91</v>
      </c>
      <c r="AC96" s="1" t="s">
        <v>91</v>
      </c>
      <c r="AD96" s="1" t="s">
        <v>91</v>
      </c>
      <c r="AK96" s="25" t="s">
        <v>146</v>
      </c>
      <c r="AL96" s="49">
        <v>8.4000000000000005E-2</v>
      </c>
    </row>
    <row r="97" spans="1:38" ht="20" x14ac:dyDescent="0.25">
      <c r="A97" s="5" t="s">
        <v>82</v>
      </c>
      <c r="B97" s="1" t="s">
        <v>91</v>
      </c>
      <c r="C97" s="1" t="s">
        <v>91</v>
      </c>
      <c r="D97" s="1" t="s">
        <v>91</v>
      </c>
      <c r="E97" s="1" t="s">
        <v>91</v>
      </c>
      <c r="F97" s="1" t="s">
        <v>91</v>
      </c>
      <c r="G97" s="1" t="s">
        <v>91</v>
      </c>
      <c r="H97" s="1" t="s">
        <v>91</v>
      </c>
      <c r="I97" s="1">
        <v>-73619</v>
      </c>
      <c r="J97" s="1">
        <v>-156211</v>
      </c>
      <c r="K97" s="1">
        <v>-118649</v>
      </c>
      <c r="L97" s="1" t="s">
        <v>91</v>
      </c>
      <c r="M97" s="1" t="s">
        <v>91</v>
      </c>
      <c r="N97" s="1" t="s">
        <v>91</v>
      </c>
      <c r="O97" s="1" t="s">
        <v>91</v>
      </c>
      <c r="P97" s="1" t="s">
        <v>91</v>
      </c>
      <c r="Q97" s="1">
        <v>-1486208</v>
      </c>
      <c r="R97" s="1">
        <v>-1599000</v>
      </c>
      <c r="S97" s="1">
        <v>-3267000</v>
      </c>
      <c r="T97" s="1">
        <v>-2092000</v>
      </c>
      <c r="U97" s="1">
        <v>-1623000</v>
      </c>
      <c r="V97" s="1">
        <v>-1150000</v>
      </c>
      <c r="W97" s="1">
        <v>-2296000</v>
      </c>
      <c r="X97" s="1">
        <v>-7311000</v>
      </c>
      <c r="Y97" s="1">
        <v>-1099000</v>
      </c>
      <c r="Z97" s="1" t="s">
        <v>91</v>
      </c>
      <c r="AA97" s="1">
        <v>-2901000</v>
      </c>
      <c r="AB97" s="1">
        <v>-9484000</v>
      </c>
      <c r="AC97" s="1">
        <v>-1794000</v>
      </c>
      <c r="AD97" s="1">
        <v>-15097000</v>
      </c>
      <c r="AK97" s="47" t="s">
        <v>147</v>
      </c>
      <c r="AL97" s="48">
        <f>(AL94)+((AL95)*(AL96-AL94))</f>
        <v>0.11314507200000001</v>
      </c>
    </row>
    <row r="98" spans="1:38"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v>-862000</v>
      </c>
      <c r="Y98" s="1">
        <v>-1170000</v>
      </c>
      <c r="Z98" s="1">
        <v>-1168000</v>
      </c>
      <c r="AA98" s="1">
        <v>-1252000</v>
      </c>
      <c r="AB98" s="1">
        <v>-1286000</v>
      </c>
      <c r="AC98" s="1">
        <v>-1440000</v>
      </c>
      <c r="AD98" s="1">
        <v>-1784000</v>
      </c>
      <c r="AK98" s="68" t="s">
        <v>148</v>
      </c>
      <c r="AL98" s="68"/>
    </row>
    <row r="99" spans="1:38" ht="20" x14ac:dyDescent="0.25">
      <c r="A99" s="5" t="s">
        <v>84</v>
      </c>
      <c r="B99" s="1">
        <v>-300000</v>
      </c>
      <c r="C99" s="1">
        <v>-300000</v>
      </c>
      <c r="D99" s="1">
        <v>200000</v>
      </c>
      <c r="E99" s="1">
        <v>1900000</v>
      </c>
      <c r="F99" s="1">
        <v>-700000</v>
      </c>
      <c r="G99" s="1">
        <v>100000</v>
      </c>
      <c r="H99" s="1">
        <v>-640756</v>
      </c>
      <c r="I99" s="1">
        <v>-29435</v>
      </c>
      <c r="J99" s="1">
        <v>-175024</v>
      </c>
      <c r="K99" s="1">
        <v>-511676</v>
      </c>
      <c r="L99" s="1">
        <v>-175960</v>
      </c>
      <c r="M99" s="1">
        <v>3872435</v>
      </c>
      <c r="N99" s="1">
        <v>198978</v>
      </c>
      <c r="O99" s="1">
        <v>-1458472</v>
      </c>
      <c r="P99" s="1">
        <v>2497700</v>
      </c>
      <c r="Q99" s="1">
        <v>6499056</v>
      </c>
      <c r="R99" s="1">
        <v>5834000</v>
      </c>
      <c r="S99" s="1">
        <v>-1320000</v>
      </c>
      <c r="T99" s="1">
        <v>-1070000</v>
      </c>
      <c r="U99" s="1">
        <v>9144000</v>
      </c>
      <c r="V99" s="1">
        <v>9935000</v>
      </c>
      <c r="W99" s="1">
        <v>18154000</v>
      </c>
      <c r="X99" s="1">
        <v>31708000</v>
      </c>
      <c r="Y99" s="1">
        <v>11374000</v>
      </c>
      <c r="Z99" s="1">
        <v>82372000</v>
      </c>
      <c r="AA99" s="1">
        <v>13421000</v>
      </c>
      <c r="AB99" s="1">
        <v>6472000</v>
      </c>
      <c r="AC99" s="1">
        <v>37316000</v>
      </c>
      <c r="AD99" s="1">
        <v>35357000</v>
      </c>
      <c r="AK99" s="25" t="s">
        <v>149</v>
      </c>
      <c r="AL99" s="26">
        <f>AL86+AL87</f>
        <v>241259000</v>
      </c>
    </row>
    <row r="100" spans="1:38" ht="20" x14ac:dyDescent="0.25">
      <c r="A100" s="6" t="s">
        <v>85</v>
      </c>
      <c r="B100" s="10">
        <v>-300000</v>
      </c>
      <c r="C100" s="10">
        <v>-300000</v>
      </c>
      <c r="D100" s="10">
        <v>5800000</v>
      </c>
      <c r="E100" s="10">
        <v>2100000</v>
      </c>
      <c r="F100" s="10">
        <v>100000</v>
      </c>
      <c r="G100" s="10" t="s">
        <v>91</v>
      </c>
      <c r="H100" s="10">
        <v>-465581</v>
      </c>
      <c r="I100" s="10">
        <v>-103054</v>
      </c>
      <c r="J100" s="10">
        <v>-331235</v>
      </c>
      <c r="K100" s="10">
        <v>-630325</v>
      </c>
      <c r="L100" s="10">
        <v>-175960</v>
      </c>
      <c r="M100" s="10">
        <v>4801197</v>
      </c>
      <c r="N100" s="10">
        <v>759672</v>
      </c>
      <c r="O100" s="10">
        <v>4552499</v>
      </c>
      <c r="P100" s="10">
        <v>26496424</v>
      </c>
      <c r="Q100" s="10">
        <v>2204471</v>
      </c>
      <c r="R100" s="10">
        <v>1757000</v>
      </c>
      <c r="S100" s="10">
        <v>-11442000</v>
      </c>
      <c r="T100" s="10">
        <v>-11568000</v>
      </c>
      <c r="U100" s="10">
        <v>-1820000</v>
      </c>
      <c r="V100" s="10">
        <v>312000</v>
      </c>
      <c r="W100" s="10">
        <v>3279000</v>
      </c>
      <c r="X100" s="10">
        <v>4376000</v>
      </c>
      <c r="Y100" s="10">
        <v>-3975000</v>
      </c>
      <c r="Z100" s="10">
        <v>8374000</v>
      </c>
      <c r="AA100" s="10">
        <v>-13656000</v>
      </c>
      <c r="AB100" s="10">
        <v>-13130000</v>
      </c>
      <c r="AC100" s="10">
        <v>-15096000</v>
      </c>
      <c r="AD100" s="10">
        <v>3582000</v>
      </c>
      <c r="AK100" s="47" t="s">
        <v>150</v>
      </c>
      <c r="AL100" s="48">
        <f>AL99/AL103</f>
        <v>0.24849633140397506</v>
      </c>
    </row>
    <row r="101" spans="1:38"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A101" s="1" t="s">
        <v>91</v>
      </c>
      <c r="AB101" s="1" t="s">
        <v>91</v>
      </c>
      <c r="AC101" s="1" t="s">
        <v>91</v>
      </c>
      <c r="AD101" s="1" t="s">
        <v>91</v>
      </c>
      <c r="AK101" s="50" t="s">
        <v>151</v>
      </c>
      <c r="AL101" s="52" cm="1">
        <f t="array" ref="AL101">_FV(A1,"Market cap",TRUE)</f>
        <v>729616500</v>
      </c>
    </row>
    <row r="102" spans="1:38" ht="20" x14ac:dyDescent="0.25">
      <c r="A102" s="6" t="s">
        <v>87</v>
      </c>
      <c r="B102" s="10">
        <v>-300000</v>
      </c>
      <c r="C102" s="10">
        <v>-300000</v>
      </c>
      <c r="D102" s="10">
        <v>5800000</v>
      </c>
      <c r="E102" s="10">
        <v>2100000</v>
      </c>
      <c r="F102" s="10">
        <v>100000</v>
      </c>
      <c r="G102" s="10">
        <v>-200000</v>
      </c>
      <c r="H102" s="10">
        <v>-3629</v>
      </c>
      <c r="I102" s="10">
        <v>330096</v>
      </c>
      <c r="J102" s="10">
        <v>28738</v>
      </c>
      <c r="K102" s="10">
        <v>-128501</v>
      </c>
      <c r="L102" s="10">
        <v>-326680</v>
      </c>
      <c r="M102" s="10">
        <v>205087</v>
      </c>
      <c r="N102" s="10">
        <v>374602</v>
      </c>
      <c r="O102" s="10">
        <v>2143826</v>
      </c>
      <c r="P102" s="10">
        <v>2603887</v>
      </c>
      <c r="Q102" s="10">
        <v>7322204</v>
      </c>
      <c r="R102" s="10">
        <v>6318000</v>
      </c>
      <c r="S102" s="10">
        <v>-8901000</v>
      </c>
      <c r="T102" s="10">
        <v>-4178000</v>
      </c>
      <c r="U102" s="10">
        <v>5136000</v>
      </c>
      <c r="V102" s="10">
        <v>-674000</v>
      </c>
      <c r="W102" s="10">
        <v>-1944000</v>
      </c>
      <c r="X102" s="10">
        <v>3307000</v>
      </c>
      <c r="Y102" s="10">
        <v>-1405000</v>
      </c>
      <c r="Z102" s="10">
        <v>7804000</v>
      </c>
      <c r="AA102" s="10">
        <v>-3629000</v>
      </c>
      <c r="AB102" s="10">
        <v>1508000</v>
      </c>
      <c r="AC102" s="10">
        <v>20081000</v>
      </c>
      <c r="AD102" s="10">
        <v>294000</v>
      </c>
      <c r="AK102" s="47" t="s">
        <v>152</v>
      </c>
      <c r="AL102" s="48">
        <f>AL101/AL103</f>
        <v>0.75150366859602491</v>
      </c>
    </row>
    <row r="103" spans="1:38" ht="20" x14ac:dyDescent="0.25">
      <c r="A103" s="5" t="s">
        <v>88</v>
      </c>
      <c r="B103" s="1">
        <v>400000</v>
      </c>
      <c r="C103" s="1">
        <v>100000</v>
      </c>
      <c r="D103" s="1">
        <v>200000</v>
      </c>
      <c r="E103" s="1">
        <v>3200000</v>
      </c>
      <c r="F103" s="1">
        <v>400000</v>
      </c>
      <c r="G103" s="1">
        <v>600000</v>
      </c>
      <c r="H103" s="1">
        <v>378161</v>
      </c>
      <c r="I103" s="1">
        <v>374532</v>
      </c>
      <c r="J103" s="1">
        <v>704628</v>
      </c>
      <c r="K103" s="1">
        <v>733366</v>
      </c>
      <c r="L103" s="1">
        <v>604865</v>
      </c>
      <c r="M103" s="1">
        <v>275243</v>
      </c>
      <c r="N103" s="1">
        <v>480330</v>
      </c>
      <c r="O103" s="1">
        <v>854932</v>
      </c>
      <c r="P103" s="1">
        <v>2998758</v>
      </c>
      <c r="Q103" s="1">
        <v>5429219</v>
      </c>
      <c r="R103" s="1">
        <v>12850000</v>
      </c>
      <c r="S103" s="1">
        <v>18599000</v>
      </c>
      <c r="T103" s="1">
        <v>9698000</v>
      </c>
      <c r="U103" s="1">
        <v>5520000</v>
      </c>
      <c r="V103" s="1">
        <v>10638000</v>
      </c>
      <c r="W103" s="1">
        <v>9964000</v>
      </c>
      <c r="X103" s="1">
        <v>8020000</v>
      </c>
      <c r="Y103" s="1">
        <v>11327000</v>
      </c>
      <c r="Z103" s="1">
        <v>9922000</v>
      </c>
      <c r="AA103" s="1">
        <v>17726000</v>
      </c>
      <c r="AB103" s="1">
        <v>14097000</v>
      </c>
      <c r="AC103" s="1">
        <v>15605000</v>
      </c>
      <c r="AD103" s="1">
        <v>35686000</v>
      </c>
      <c r="AK103" s="47" t="s">
        <v>153</v>
      </c>
      <c r="AL103" s="53">
        <f>AL99+AL101</f>
        <v>970875500</v>
      </c>
    </row>
    <row r="104" spans="1:38" ht="20" thickBot="1" x14ac:dyDescent="0.3">
      <c r="A104" s="7" t="s">
        <v>89</v>
      </c>
      <c r="B104" s="11" t="s">
        <v>91</v>
      </c>
      <c r="C104" s="11" t="s">
        <v>91</v>
      </c>
      <c r="D104" s="11" t="s">
        <v>91</v>
      </c>
      <c r="E104" s="11" t="s">
        <v>91</v>
      </c>
      <c r="F104" s="11" t="s">
        <v>91</v>
      </c>
      <c r="G104" s="11">
        <v>400000</v>
      </c>
      <c r="H104" s="11">
        <v>374532</v>
      </c>
      <c r="I104" s="11">
        <v>704628</v>
      </c>
      <c r="J104" s="11">
        <v>733366</v>
      </c>
      <c r="K104" s="11">
        <v>604865</v>
      </c>
      <c r="L104" s="11">
        <v>278185</v>
      </c>
      <c r="M104" s="11">
        <v>480330</v>
      </c>
      <c r="N104" s="11">
        <v>854932</v>
      </c>
      <c r="O104" s="11">
        <v>2998758</v>
      </c>
      <c r="P104" s="11">
        <v>5602645</v>
      </c>
      <c r="Q104" s="11">
        <v>12751423</v>
      </c>
      <c r="R104" s="11">
        <v>19168000</v>
      </c>
      <c r="S104" s="11">
        <v>9698000</v>
      </c>
      <c r="T104" s="11">
        <v>5520000</v>
      </c>
      <c r="U104" s="11">
        <v>10656000</v>
      </c>
      <c r="V104" s="11">
        <v>9964000</v>
      </c>
      <c r="W104" s="11">
        <v>8020000</v>
      </c>
      <c r="X104" s="11">
        <v>11327000</v>
      </c>
      <c r="Y104" s="11">
        <v>9922000</v>
      </c>
      <c r="Z104" s="11">
        <v>17726000</v>
      </c>
      <c r="AA104" s="11">
        <v>14097000</v>
      </c>
      <c r="AB104" s="11">
        <v>15605000</v>
      </c>
      <c r="AC104" s="11">
        <v>35686000</v>
      </c>
      <c r="AD104" s="11">
        <v>35980000</v>
      </c>
      <c r="AK104" s="68" t="s">
        <v>154</v>
      </c>
      <c r="AL104" s="68"/>
    </row>
    <row r="105" spans="1:38" ht="21" thickTop="1" x14ac:dyDescent="0.25">
      <c r="A105" s="14" t="s">
        <v>109</v>
      </c>
      <c r="B105" s="1">
        <f t="shared" ref="B105:AC105" si="10">(B22*(1-$AL$91))+B77+B88+B81</f>
        <v>106397.69835858373</v>
      </c>
      <c r="C105" s="1">
        <f t="shared" si="10"/>
        <v>359596.54753787559</v>
      </c>
      <c r="D105" s="1">
        <f t="shared" si="10"/>
        <v>-3089394.8213068135</v>
      </c>
      <c r="E105" s="1">
        <f t="shared" si="10"/>
        <v>-4565994.2458964596</v>
      </c>
      <c r="F105" s="1">
        <f t="shared" si="10"/>
        <v>-353198.84917929186</v>
      </c>
      <c r="G105" s="1">
        <f t="shared" si="10"/>
        <v>-1423400.575410354</v>
      </c>
      <c r="H105" s="1">
        <f t="shared" si="10"/>
        <v>465826.47256822605</v>
      </c>
      <c r="I105" s="1">
        <f t="shared" si="10"/>
        <v>230207.42503866553</v>
      </c>
      <c r="J105" s="1">
        <f t="shared" si="10"/>
        <v>235470.08955447271</v>
      </c>
      <c r="K105" s="1">
        <f t="shared" si="10"/>
        <v>640175.34233589994</v>
      </c>
      <c r="L105" s="1">
        <f t="shared" si="10"/>
        <v>129974.72260564426</v>
      </c>
      <c r="M105" s="1">
        <f t="shared" si="10"/>
        <v>-1663971.4409372872</v>
      </c>
      <c r="N105" s="1">
        <f t="shared" si="10"/>
        <v>1331104.6332839965</v>
      </c>
      <c r="O105" s="1">
        <f t="shared" si="10"/>
        <v>3440042.8629658576</v>
      </c>
      <c r="P105" s="1">
        <f t="shared" si="10"/>
        <v>12441295.373584341</v>
      </c>
      <c r="Q105" s="1">
        <f t="shared" si="10"/>
        <v>9467079.0380668864</v>
      </c>
      <c r="R105" s="1">
        <f t="shared" si="10"/>
        <v>-1782681.3290981352</v>
      </c>
      <c r="S105" s="1">
        <f t="shared" si="10"/>
        <v>7439095.8573780581</v>
      </c>
      <c r="T105" s="1">
        <f t="shared" si="10"/>
        <v>13778862.982488234</v>
      </c>
      <c r="U105" s="1">
        <f t="shared" si="10"/>
        <v>14918430.759508405</v>
      </c>
      <c r="V105" s="1">
        <f t="shared" si="10"/>
        <v>9640141.3912956715</v>
      </c>
      <c r="W105" s="1">
        <f t="shared" si="10"/>
        <v>5578427.8658262789</v>
      </c>
      <c r="X105" s="1">
        <f t="shared" si="10"/>
        <v>-5508551.9615506157</v>
      </c>
      <c r="Y105" s="1">
        <f t="shared" si="10"/>
        <v>9750340.8557981737</v>
      </c>
      <c r="Z105" s="1">
        <f t="shared" si="10"/>
        <v>-945827.39352414012</v>
      </c>
      <c r="AA105" s="1">
        <f t="shared" si="10"/>
        <v>18885766.326853037</v>
      </c>
      <c r="AB105" s="1">
        <f t="shared" si="10"/>
        <v>6583420.1992316768</v>
      </c>
      <c r="AC105" s="1">
        <f t="shared" si="10"/>
        <v>20803546.190816715</v>
      </c>
      <c r="AD105" s="1">
        <f>(AD22*(1-$AL$91))+AD77+AD88+AD81</f>
        <v>41704182.81751509</v>
      </c>
      <c r="AE105" s="31">
        <f>AD105*(1+$AL$106)</f>
        <v>43291168.261919469</v>
      </c>
      <c r="AF105" s="31">
        <f t="shared" ref="AF105:AI105" si="11">AE105*(1+$AL$106)</f>
        <v>44938543.878978029</v>
      </c>
      <c r="AG105" s="31">
        <f t="shared" si="11"/>
        <v>46648607.719354101</v>
      </c>
      <c r="AH105" s="31">
        <f t="shared" si="11"/>
        <v>48423745.282324232</v>
      </c>
      <c r="AI105" s="31">
        <f t="shared" si="11"/>
        <v>50266432.843494207</v>
      </c>
      <c r="AJ105" s="28" t="s">
        <v>110</v>
      </c>
      <c r="AK105" s="32" t="s">
        <v>111</v>
      </c>
      <c r="AL105" s="33">
        <f>(AL100*AL92)+(AL102*AL97)</f>
        <v>9.4457160226363426E-2</v>
      </c>
    </row>
    <row r="106" spans="1:38" ht="21" customHeight="1" x14ac:dyDescent="0.25">
      <c r="A106" s="14" t="s">
        <v>106</v>
      </c>
      <c r="B106" s="1"/>
      <c r="C106" s="19">
        <f t="shared" ref="C106:AD106" si="12">(C107/B107)-1</f>
        <v>3</v>
      </c>
      <c r="D106" s="19">
        <f t="shared" si="12"/>
        <v>-8</v>
      </c>
      <c r="E106" s="19">
        <f t="shared" si="12"/>
        <v>0.71428571428571419</v>
      </c>
      <c r="F106" s="19">
        <f t="shared" si="12"/>
        <v>-0.85416666666666663</v>
      </c>
      <c r="G106" s="19">
        <f t="shared" si="12"/>
        <v>1.1428571428571428</v>
      </c>
      <c r="H106" s="19">
        <f t="shared" si="12"/>
        <v>-1.1478773333333334</v>
      </c>
      <c r="I106" s="19">
        <f t="shared" si="12"/>
        <v>0.95274461716016878</v>
      </c>
      <c r="J106" s="19">
        <f t="shared" si="12"/>
        <v>-0.18717996075262611</v>
      </c>
      <c r="K106" s="19">
        <f t="shared" si="12"/>
        <v>0.20459677396449027</v>
      </c>
      <c r="L106" s="19">
        <f t="shared" si="12"/>
        <v>-0.82556955100847429</v>
      </c>
      <c r="M106" s="19">
        <f t="shared" si="12"/>
        <v>-35.212931046135964</v>
      </c>
      <c r="N106" s="19">
        <f t="shared" si="12"/>
        <v>-1.428308119021561</v>
      </c>
      <c r="O106" s="19">
        <f t="shared" si="12"/>
        <v>1.9270134266882528</v>
      </c>
      <c r="P106" s="19">
        <f t="shared" si="12"/>
        <v>2.6810372567156793</v>
      </c>
      <c r="Q106" s="19">
        <f t="shared" si="12"/>
        <v>-0.41680237016214894</v>
      </c>
      <c r="R106" s="19">
        <f t="shared" si="12"/>
        <v>0.67667986557199722</v>
      </c>
      <c r="S106" s="19">
        <f t="shared" si="12"/>
        <v>-0.35662376324314859</v>
      </c>
      <c r="T106" s="19">
        <f t="shared" si="12"/>
        <v>0.56872618399564501</v>
      </c>
      <c r="U106" s="19">
        <f t="shared" si="12"/>
        <v>-0.24472976489980047</v>
      </c>
      <c r="V106" s="19">
        <f t="shared" si="12"/>
        <v>-1.1061337008959338</v>
      </c>
      <c r="W106" s="19">
        <f t="shared" si="12"/>
        <v>2.133116883116883</v>
      </c>
      <c r="X106" s="19">
        <f t="shared" si="12"/>
        <v>0.76753022452504327</v>
      </c>
      <c r="Y106" s="19">
        <f t="shared" si="12"/>
        <v>-2.9239788938831346</v>
      </c>
      <c r="Z106" s="19">
        <f t="shared" si="12"/>
        <v>-0.94860335195530721</v>
      </c>
      <c r="AA106" s="19">
        <f t="shared" si="12"/>
        <v>31.541501976284586</v>
      </c>
      <c r="AB106" s="19">
        <f t="shared" si="12"/>
        <v>-0.39900400825944371</v>
      </c>
      <c r="AC106" s="19">
        <f t="shared" si="12"/>
        <v>1.8779304769603882</v>
      </c>
      <c r="AD106" s="19">
        <f t="shared" si="12"/>
        <v>0.42226123595505616</v>
      </c>
      <c r="AE106" s="27">
        <v>42070000</v>
      </c>
      <c r="AF106" s="27">
        <v>65252000</v>
      </c>
      <c r="AG106" s="27">
        <v>64100000</v>
      </c>
      <c r="AH106" s="27">
        <v>73750000</v>
      </c>
      <c r="AI106" s="27">
        <v>83561000</v>
      </c>
      <c r="AJ106" s="28" t="s">
        <v>107</v>
      </c>
      <c r="AK106" s="29" t="s">
        <v>108</v>
      </c>
      <c r="AL106" s="30">
        <f>(SUM(AE4:AI4)/5)</f>
        <v>3.8053387866357258E-2</v>
      </c>
    </row>
    <row r="107" spans="1:38" ht="19" x14ac:dyDescent="0.25">
      <c r="A107" s="34" t="s">
        <v>112</v>
      </c>
      <c r="B107" s="1">
        <v>100000</v>
      </c>
      <c r="C107" s="1">
        <v>400000</v>
      </c>
      <c r="D107" s="1">
        <v>-2800000</v>
      </c>
      <c r="E107" s="1">
        <v>-4800000</v>
      </c>
      <c r="F107" s="1">
        <v>-700000</v>
      </c>
      <c r="G107" s="1">
        <v>-1500000</v>
      </c>
      <c r="H107" s="1">
        <v>221816</v>
      </c>
      <c r="I107" s="1">
        <v>433150</v>
      </c>
      <c r="J107" s="1">
        <v>352073</v>
      </c>
      <c r="K107" s="1">
        <v>424106</v>
      </c>
      <c r="L107" s="1">
        <v>73977</v>
      </c>
      <c r="M107" s="1">
        <v>-2530970</v>
      </c>
      <c r="N107" s="1">
        <v>1084035</v>
      </c>
      <c r="O107" s="1">
        <v>3172985</v>
      </c>
      <c r="P107" s="1">
        <v>11679876</v>
      </c>
      <c r="Q107" s="1">
        <v>6811676</v>
      </c>
      <c r="R107" s="1">
        <v>11421000</v>
      </c>
      <c r="S107" s="1">
        <v>7348000</v>
      </c>
      <c r="T107" s="1">
        <v>11527000</v>
      </c>
      <c r="U107" s="1">
        <v>8706000</v>
      </c>
      <c r="V107" s="1">
        <v>-924000</v>
      </c>
      <c r="W107" s="1">
        <v>-2895000</v>
      </c>
      <c r="X107" s="1">
        <v>-5117000</v>
      </c>
      <c r="Y107" s="1">
        <v>9845000</v>
      </c>
      <c r="Z107" s="1">
        <v>506000</v>
      </c>
      <c r="AA107" s="1">
        <v>16466000</v>
      </c>
      <c r="AB107" s="1">
        <v>9896000</v>
      </c>
      <c r="AC107" s="1">
        <v>28480000</v>
      </c>
      <c r="AD107" s="1">
        <v>40506000</v>
      </c>
      <c r="AE107" s="28"/>
      <c r="AF107" s="28"/>
      <c r="AG107" s="28"/>
      <c r="AH107" s="28"/>
      <c r="AI107" s="54">
        <f>AI106*(1+AL107)/(AL108-AL107)</f>
        <v>1233134564.1092069</v>
      </c>
      <c r="AJ107" s="55" t="s">
        <v>155</v>
      </c>
      <c r="AK107" s="56" t="s">
        <v>156</v>
      </c>
      <c r="AL107" s="57">
        <v>2.5000000000000001E-2</v>
      </c>
    </row>
    <row r="108" spans="1:38"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54">
        <f t="shared" ref="AE108:AH108" si="13">AE107+AE106</f>
        <v>42070000</v>
      </c>
      <c r="AF108" s="54">
        <f t="shared" si="13"/>
        <v>65252000</v>
      </c>
      <c r="AG108" s="54">
        <f t="shared" si="13"/>
        <v>64100000</v>
      </c>
      <c r="AH108" s="54">
        <f t="shared" si="13"/>
        <v>73750000</v>
      </c>
      <c r="AI108" s="54">
        <f>AI107+AI106</f>
        <v>1316695564.1092069</v>
      </c>
      <c r="AJ108" s="55" t="s">
        <v>153</v>
      </c>
      <c r="AK108" s="58" t="s">
        <v>157</v>
      </c>
      <c r="AL108" s="30">
        <f>AL105</f>
        <v>9.4457160226363426E-2</v>
      </c>
    </row>
    <row r="109" spans="1:38" ht="19" x14ac:dyDescent="0.25">
      <c r="AE109" s="69" t="s">
        <v>158</v>
      </c>
      <c r="AF109" s="69"/>
    </row>
    <row r="110" spans="1:38" ht="20" x14ac:dyDescent="0.25">
      <c r="AE110" s="59" t="s">
        <v>159</v>
      </c>
      <c r="AF110" s="52">
        <f>NPV(AL108,AE108,AF108,AG108,AH108,AI108)</f>
        <v>1031686917.9480435</v>
      </c>
    </row>
    <row r="111" spans="1:38" ht="20" x14ac:dyDescent="0.25">
      <c r="AE111" s="59" t="s">
        <v>160</v>
      </c>
      <c r="AF111" s="52">
        <f>AD40</f>
        <v>35980000</v>
      </c>
    </row>
    <row r="112" spans="1:38" ht="20" x14ac:dyDescent="0.25">
      <c r="AE112" s="59" t="s">
        <v>149</v>
      </c>
      <c r="AF112" s="52">
        <f>AL99</f>
        <v>241259000</v>
      </c>
    </row>
    <row r="113" spans="31:32" ht="20" x14ac:dyDescent="0.25">
      <c r="AE113" s="59" t="s">
        <v>161</v>
      </c>
      <c r="AF113" s="52">
        <f>AF110+AF111-AF112</f>
        <v>826407917.94804347</v>
      </c>
    </row>
    <row r="114" spans="31:32" ht="20" x14ac:dyDescent="0.25">
      <c r="AE114" s="59" t="s">
        <v>162</v>
      </c>
      <c r="AF114" s="59">
        <f>AD34*(1+(AJ16*5))</f>
        <v>9051904.8666637503</v>
      </c>
    </row>
    <row r="115" spans="31:32" ht="20" x14ac:dyDescent="0.25">
      <c r="AE115" s="60" t="s">
        <v>163</v>
      </c>
      <c r="AF115" s="61">
        <f>AF113/AF114</f>
        <v>91.296575706570763</v>
      </c>
    </row>
    <row r="116" spans="31:32" ht="20" x14ac:dyDescent="0.25">
      <c r="AE116" s="59" t="s">
        <v>164</v>
      </c>
      <c r="AF116" s="62" cm="1">
        <f t="array" ref="AF116">_FV(A1,"Price")</f>
        <v>70.627899999999997</v>
      </c>
    </row>
    <row r="117" spans="31:32" ht="20" x14ac:dyDescent="0.25">
      <c r="AE117" s="60" t="s">
        <v>165</v>
      </c>
      <c r="AF117" s="63">
        <f>AF115/AF116-1</f>
        <v>0.2926417988722696</v>
      </c>
    </row>
    <row r="118" spans="31:32" ht="20" x14ac:dyDescent="0.25">
      <c r="AE118" s="60" t="s">
        <v>166</v>
      </c>
      <c r="AF118" s="64" t="str">
        <f>IF(AF115&gt;AF116,"BUY","SELL")</f>
        <v>BUY</v>
      </c>
    </row>
  </sheetData>
  <mergeCells count="6">
    <mergeCell ref="AE109:AF109"/>
    <mergeCell ref="AK83:AL83"/>
    <mergeCell ref="AK84:AL84"/>
    <mergeCell ref="AK93:AL93"/>
    <mergeCell ref="AK98:AL98"/>
    <mergeCell ref="AK104:AL104"/>
  </mergeCells>
  <hyperlinks>
    <hyperlink ref="A1" r:id="rId1" tooltip="https://roic.ai/company/RICK" display="ROIC.AI | RICK"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935419/0001019056-98-000002-index.html" xr:uid="{00000000-0004-0000-0000-00000A000000}"/>
    <hyperlink ref="E74" r:id="rId9" tooltip="https://www.sec.gov/Archives/edgar/data/935419/0001019056-98-000002-index.html"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935419/000101540200003663/0001015402-00-003663-index.htm" xr:uid="{00000000-0004-0000-0000-000013000000}"/>
    <hyperlink ref="H74" r:id="rId15" tooltip="https://www.sec.gov/Archives/edgar/data/935419/000101540200003663/0001015402-00-003663-index.htm" xr:uid="{00000000-0004-0000-0000-000014000000}"/>
    <hyperlink ref="I36" r:id="rId16" tooltip="https://www.sec.gov/Archives/edgar/data/935419/000101540201503823/0001015402-01-503823-index.htm" xr:uid="{00000000-0004-0000-0000-000016000000}"/>
    <hyperlink ref="I74" r:id="rId17" tooltip="https://www.sec.gov/Archives/edgar/data/935419/000101540201503823/0001015402-01-503823-index.htm"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www.sec.gov/Archives/edgar/data/935419/000114036107024905/0001140361-07-024905-index.htm" xr:uid="{00000000-0004-0000-0000-000028000000}"/>
    <hyperlink ref="O74" r:id="rId29" tooltip="https://www.sec.gov/Archives/edgar/data/935419/000114036107024905/0001140361-07-024905-index.htm" xr:uid="{00000000-0004-0000-0000-000029000000}"/>
    <hyperlink ref="P36" r:id="rId30" tooltip="https://www.sec.gov/Archives/edgar/data/935419/000114036108028818/0001140361-08-028818-index.htm" xr:uid="{00000000-0004-0000-0000-00002B000000}"/>
    <hyperlink ref="P74" r:id="rId31" tooltip="https://www.sec.gov/Archives/edgar/data/935419/000114036108028818/0001140361-08-028818-index.htm" xr:uid="{00000000-0004-0000-0000-00002C000000}"/>
    <hyperlink ref="Q36" r:id="rId32" tooltip="https://www.sec.gov/Archives/edgar/data/935419/000114036109029530/0001140361-09-029530-index.htm" xr:uid="{00000000-0004-0000-0000-00002E000000}"/>
    <hyperlink ref="Q74" r:id="rId33" tooltip="https://www.sec.gov/Archives/edgar/data/935419/000114036109029530/0001140361-09-029530-index.htm" xr:uid="{00000000-0004-0000-0000-00002F000000}"/>
    <hyperlink ref="R36" r:id="rId34" tooltip="https://www.sec.gov/Archives/edgar/data/935419/000114036110049553/0001140361-10-049553-index.htm" xr:uid="{00000000-0004-0000-0000-000031000000}"/>
    <hyperlink ref="R74" r:id="rId35" tooltip="https://www.sec.gov/Archives/edgar/data/935419/000114036110049553/0001140361-10-049553-index.htm" xr:uid="{00000000-0004-0000-0000-000032000000}"/>
    <hyperlink ref="S36" r:id="rId36" tooltip="https://www.sec.gov/Archives/edgar/data/935419/000114420411069777/0001144204-11-069777-index.htm" xr:uid="{00000000-0004-0000-0000-000034000000}"/>
    <hyperlink ref="S74" r:id="rId37" tooltip="https://www.sec.gov/Archives/edgar/data/935419/000114420411069777/0001144204-11-069777-index.htm" xr:uid="{00000000-0004-0000-0000-000035000000}"/>
    <hyperlink ref="T36" r:id="rId38" tooltip="https://www.sec.gov/Archives/edgar/data/935419/000114420412068015/0001144204-12-068015-index.htm" xr:uid="{00000000-0004-0000-0000-000037000000}"/>
    <hyperlink ref="T74" r:id="rId39" tooltip="https://www.sec.gov/Archives/edgar/data/935419/000114420412068015/0001144204-12-068015-index.htm" xr:uid="{00000000-0004-0000-0000-000038000000}"/>
    <hyperlink ref="U36" r:id="rId40" tooltip="https://www.sec.gov/Archives/edgar/data/935419/000114420413067468/0001144204-13-067468-index.htm" xr:uid="{00000000-0004-0000-0000-00003A000000}"/>
    <hyperlink ref="U74" r:id="rId41" tooltip="https://www.sec.gov/Archives/edgar/data/935419/000114420413067468/0001144204-13-067468-index.htm" xr:uid="{00000000-0004-0000-0000-00003B000000}"/>
    <hyperlink ref="V36" r:id="rId42" tooltip="https://www.sec.gov/Archives/edgar/data/935419/000114420414073951/0001144204-14-073951-index.htm" xr:uid="{00000000-0004-0000-0000-00003D000000}"/>
    <hyperlink ref="V74" r:id="rId43" tooltip="https://www.sec.gov/Archives/edgar/data/935419/000114420414073951/0001144204-14-073951-index.htm" xr:uid="{00000000-0004-0000-0000-00003E000000}"/>
    <hyperlink ref="W36" r:id="rId44" tooltip="https://www.sec.gov/Archives/edgar/data/935419/000114420415070732/0001144204-15-070732-index.htm" xr:uid="{00000000-0004-0000-0000-000040000000}"/>
    <hyperlink ref="W74" r:id="rId45" tooltip="https://www.sec.gov/Archives/edgar/data/935419/000114420415070732/0001144204-15-070732-index.htm" xr:uid="{00000000-0004-0000-0000-000041000000}"/>
    <hyperlink ref="X36" r:id="rId46" tooltip="https://www.sec.gov/Archives/edgar/data/935419/000149315216015847/0001493152-16-015847-index.htm" xr:uid="{00000000-0004-0000-0000-000043000000}"/>
    <hyperlink ref="X74" r:id="rId47" tooltip="https://www.sec.gov/Archives/edgar/data/935419/000149315216015847/0001493152-16-015847-index.htm" xr:uid="{00000000-0004-0000-0000-000044000000}"/>
    <hyperlink ref="Y36" r:id="rId48" tooltip="https://www.sec.gov/Archives/edgar/data/935419/000149315218002134/0001493152-18-002134-index.htm" xr:uid="{00000000-0004-0000-0000-000046000000}"/>
    <hyperlink ref="Y74" r:id="rId49" tooltip="https://www.sec.gov/Archives/edgar/data/935419/000149315218002134/0001493152-18-002134-index.htm" xr:uid="{00000000-0004-0000-0000-000047000000}"/>
    <hyperlink ref="Z36" r:id="rId50" tooltip="https://www.sec.gov/Archives/edgar/data/935419/000149315218018121/0001493152-18-018121-index.htm" xr:uid="{00000000-0004-0000-0000-000049000000}"/>
    <hyperlink ref="Z74" r:id="rId51" tooltip="https://www.sec.gov/Archives/edgar/data/935419/000149315218018121/0001493152-18-018121-index.htm" xr:uid="{00000000-0004-0000-0000-00004A000000}"/>
    <hyperlink ref="AA36" r:id="rId52" tooltip="https://www.sec.gov/Archives/edgar/data/935419/000149315220002216/0001493152-20-002216-index.htm" xr:uid="{00000000-0004-0000-0000-00004C000000}"/>
    <hyperlink ref="AA74" r:id="rId53" tooltip="https://www.sec.gov/Archives/edgar/data/935419/000149315220002216/0001493152-20-002216-index.htm" xr:uid="{00000000-0004-0000-0000-00004D000000}"/>
    <hyperlink ref="AB36" r:id="rId54" tooltip="https://www.sec.gov/Archives/edgar/data/935419/000149315220023525/0001493152-20-023525-index.htm" xr:uid="{00000000-0004-0000-0000-00004F000000}"/>
    <hyperlink ref="AB74" r:id="rId55" tooltip="https://www.sec.gov/Archives/edgar/data/935419/000149315220023525/0001493152-20-023525-index.htm" xr:uid="{00000000-0004-0000-0000-000050000000}"/>
    <hyperlink ref="AC36" r:id="rId56" tooltip="https://www.sec.gov/Archives/edgar/data/935419/000149315221031404/0001493152-21-031404-index.htm" xr:uid="{00000000-0004-0000-0000-000052000000}"/>
    <hyperlink ref="AC74" r:id="rId57" tooltip="https://www.sec.gov/Archives/edgar/data/935419/000149315221031404/0001493152-21-031404-index.htm" xr:uid="{00000000-0004-0000-0000-000053000000}"/>
    <hyperlink ref="AD36" r:id="rId58" tooltip="https://www.sec.gov/Archives/edgar/data/935419/000162828022031907/0001628280-22-031907-index.htm" xr:uid="{00000000-0004-0000-0000-000055000000}"/>
    <hyperlink ref="AD74" r:id="rId59" tooltip="https://www.sec.gov/Archives/edgar/data/935419/000162828022031907/0001628280-22-031907-index.htm" xr:uid="{00000000-0004-0000-0000-000056000000}"/>
    <hyperlink ref="AE1" r:id="rId60" display="https://finbox.com/NASDAQGM:RICK/explorer/revenue_proj" xr:uid="{8E2BFD7A-A8E6-484F-8BEA-722C0000CCF8}"/>
    <hyperlink ref="AJ106" r:id="rId61" xr:uid="{8A9EF794-F0BC-684D-88C8-57954ADC5140}"/>
  </hyperlinks>
  <pageMargins left="0.7" right="0.7" top="0.75" bottom="0.75" header="0.3" footer="0.3"/>
  <drawing r:id="rId6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2023-03-14T03:54:47Z</dcterms:created>
  <dcterms:modified xsi:type="dcterms:W3CDTF">2023-07-29T06:00:35Z</dcterms:modified>
</cp:coreProperties>
</file>