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0EB4627-B0BD-9146-A00F-6EC81A834C0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B105" i="1" l="1"/>
  <c r="C105" i="1"/>
  <c r="D105" i="1"/>
  <c r="E105" i="1"/>
  <c r="K16" i="1" l="1"/>
  <c r="G30" i="1"/>
  <c r="H30" i="1"/>
  <c r="I30" i="1"/>
  <c r="J30" i="1"/>
  <c r="F30" i="1"/>
  <c r="F29" i="1"/>
  <c r="G29" i="1"/>
  <c r="H29" i="1"/>
  <c r="I29" i="1"/>
  <c r="J29" i="1"/>
  <c r="G21" i="1"/>
  <c r="H21" i="1"/>
  <c r="I21" i="1"/>
  <c r="J21" i="1"/>
  <c r="F21" i="1"/>
  <c r="F20" i="1"/>
  <c r="G20" i="1"/>
  <c r="H20" i="1"/>
  <c r="I20" i="1"/>
  <c r="J20" i="1"/>
  <c r="G116" i="1" a="1"/>
  <c r="G116" i="1" s="1"/>
  <c r="M88" i="1"/>
  <c r="M85" i="1"/>
  <c r="M101" i="1" a="1"/>
  <c r="M101" i="1" s="1"/>
  <c r="G111" i="1"/>
  <c r="M90" i="1"/>
  <c r="M89" i="1"/>
  <c r="M91" i="1" s="1"/>
  <c r="M87" i="1"/>
  <c r="M86" i="1"/>
  <c r="M99" i="1" s="1"/>
  <c r="M92" i="1"/>
  <c r="K19"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M22" i="1"/>
  <c r="L16" i="1"/>
  <c r="M19" i="1"/>
  <c r="L19" i="1"/>
  <c r="M16" i="1"/>
  <c r="M106" i="1"/>
  <c r="F105" i="1" s="1"/>
  <c r="G105" i="1" s="1"/>
  <c r="H105" i="1" s="1"/>
  <c r="I105" i="1" s="1"/>
  <c r="J105" i="1" s="1"/>
  <c r="M103" i="1"/>
  <c r="M100" i="1" s="1"/>
  <c r="G112" i="1"/>
  <c r="N16" i="1"/>
  <c r="N19" i="1" l="1"/>
  <c r="M102" i="1"/>
  <c r="M94" i="1" l="1"/>
  <c r="M97" i="1" s="1"/>
  <c r="M105" i="1" s="1"/>
  <c r="M108" i="1" s="1"/>
  <c r="J107" i="1" l="1"/>
  <c r="J108" i="1" s="1"/>
  <c r="G110" i="1" s="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<sst xmlns="http://schemas.openxmlformats.org/spreadsheetml/2006/main" count="305" uniqueCount="167">
  <si>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</si>
  <si>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</si>
  <si>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</si>
  <si>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</si>
  <si>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</si>
  <si>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</si>
  <si>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</si>
  <si>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</si>
  <si>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</si>
  <si>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</si>
  <si>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</si>
  <si>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</si>
  <si>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</si>
  <si>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</si>
  <si>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</si>
  <si>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</si>
  <si>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</si>
  <si>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</si>
  <si>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</si>
  <si>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</si>
  <si>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</si>
  <si>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</si>
  <si>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</si>
  <si>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</si>
  <si>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</si>
  <si>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</si>
  <si>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</si>
  <si>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</si>
  <si>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</si>
  <si>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</si>
  <si>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</si>
  <si>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</si>
  <si>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</si>
  <si>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</si>
  <si>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</si>
  <si>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</si>
  <si>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</si>
  <si>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</si>
  <si>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</si>
  <si>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</si>
  <si>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</si>
  <si>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</si>
  <si>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</si>
  <si>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</si>
  <si>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</si>
  <si>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</si>
  <si>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</si>
  <si>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</si>
  <si>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</si>
  <si>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</si>
  <si>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</si>
  <si>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</si>
  <si>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</si>
  <si>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</si>
  <si>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</si>
  <si>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</si>
  <si>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</si>
  <si>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</si>
  <si>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</si>
  <si>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</si>
  <si>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</si>
  <si>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</si>
  <si>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</si>
  <si>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</si>
  <si>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</si>
  <si>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</si>
  <si>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</si>
  <si>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</si>
  <si>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</si>
  <si>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</si>
  <si>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</si>
  <si>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</si>
  <si>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</si>
  <si>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</si>
  <si>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</si>
  <si>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</si>
  <si>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</si>
  <si>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</si>
  <si>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</si>
  <si>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</si>
  <si>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</si>
  <si>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</si>
  <si>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</si>
  <si>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</si>
  <si>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</si>
  <si>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</si>
  <si>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</si>
  <si>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</si>
  <si>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</si>
  <si>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</si>
  <si>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</si>
  <si>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</si>
  <si>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</si>
  <si>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</si>
  <si>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</si>
  <si>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</si>
  <si>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</si>
  <si>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</si>
  <si>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</si>
  <si>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</si>
  <si>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</si>
  <si>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</si>
  <si>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</si>
  <si>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</si>
  <si>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</si>
  <si>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</si>
  <si>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</si>
  <si>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</si>
  <si>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</si>
  <si>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</si>
  <si>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</si>
  <si>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</si>
  <si>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</si>
  <si>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</si>
  <si>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</si>
  <si>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</si>
  <si>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</si>
  <si>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</si>
  <si>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</si>
  <si>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</si>
  <si>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</si>
  <si>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</si>
  <si>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</si>
  <si>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</si>
  <si>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</si>
  <si>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</si>
  <si>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</si>
  <si>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</si>
  <si>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</si>
  <si>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</si>
  <si>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</si>
  <si>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</si>
  <si>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</si>
  <si>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</si>
  <si>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</si>
  <si>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</si>
  <si>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</si>
  <si>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</si>
  <si>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</si>
  <si>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</si>
  <si>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</si>
  <si>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</si>
  <si>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</si>
  <si>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</si>
  <si>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</si>
  <si>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</si>
  <si>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</si>
  <si>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</si>
  <si>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</si>
  <si>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</si>
  <si>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</si>
  <si>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</si>
  <si>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</si>
  <si>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</si>
  <si>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</si>
  <si>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</si>
  <si>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Forward P/S</t>
  </si>
  <si>
    <t>Forward P/FCF</t>
  </si>
  <si>
    <t>Forward P/E</t>
  </si>
  <si>
    <t>Levered FCF</t>
  </si>
  <si>
    <t>Levered FCF Growth YoY</t>
  </si>
  <si>
    <t>Unlevered FCF</t>
  </si>
  <si>
    <t>Unlevered FCF Forecast</t>
  </si>
  <si>
    <t>Unlevered FCF Proj</t>
  </si>
  <si>
    <t>Dividend Yield</t>
  </si>
  <si>
    <t>FCF Yield</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</si>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</sst>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53399668325044E-2"/>
          <c:y val="0.15950882908190342"/>
          <c:w val="0.83770480928689872"/>
          <c:h val="0.704451883378534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879000000</c:v>
                </c:pt>
                <c:pt idx="1">
                  <c:v>967000000</c:v>
                </c:pt>
                <c:pt idx="2">
                  <c:v>1386000000</c:v>
                </c:pt>
                <c:pt idx="3">
                  <c:v>1869000000</c:v>
                </c:pt>
              </c:numCache>
            </c:numRef>
          </c:val>
          <c:extLst>
            <c:ext xmlns:c16="http://schemas.microsoft.com/office/drawing/2014/chart" uri="{C3380CC4-5D6E-409C-BE32-E72D297353CC}">
              <c16:uniqueId val="{00000000-0D82-CA49-A5A0-A197C4CF496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-222000000</c:v>
                </c:pt>
                <c:pt idx="1">
                  <c:v>257000000</c:v>
                </c:pt>
                <c:pt idx="2">
                  <c:v>472000000</c:v>
                </c:pt>
                <c:pt idx="3">
                  <c:v>559000000</c:v>
                </c:pt>
              </c:numCache>
            </c:numRef>
          </c:val>
          <c:extLst>
            <c:ext xmlns:c16="http://schemas.microsoft.com/office/drawing/2014/chart" uri="{C3380CC4-5D6E-409C-BE32-E72D297353CC}">
              <c16:uniqueId val="{00000001-0D82-CA49-A5A0-A197C4CF496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256000000</c:v>
                </c:pt>
                <c:pt idx="1">
                  <c:v>180000000</c:v>
                </c:pt>
                <c:pt idx="2">
                  <c:v>456000000</c:v>
                </c:pt>
                <c:pt idx="3">
                  <c:v>435000000</c:v>
                </c:pt>
              </c:numCache>
            </c:numRef>
          </c:val>
          <c:extLst>
            <c:ext xmlns:c16="http://schemas.microsoft.com/office/drawing/2014/chart" uri="{C3380CC4-5D6E-409C-BE32-E72D297353CC}">
              <c16:uniqueId val="{00000002-0D82-CA49-A5A0-A197C4CF4966}"/>
            </c:ext>
          </c:extLst>
        </c:ser>
        <c:dLbls>
          <c:showLegendKey val="0"/>
          <c:showVal val="0"/>
          <c:showCatName val="0"/>
          <c:showSerName val="0"/>
          <c:showPercent val="0"/>
          <c:showBubbleSize val="0"/>
        </c:dLbls>
        <c:gapWidth val="100"/>
        <c:overlap val="-24"/>
        <c:axId val="644487728"/>
        <c:axId val="644354912"/>
      </c:barChart>
      <c:catAx>
        <c:axId val="64448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4354912"/>
        <c:crosses val="autoZero"/>
        <c:auto val="1"/>
        <c:lblAlgn val="ctr"/>
        <c:lblOffset val="100"/>
        <c:noMultiLvlLbl val="0"/>
      </c:catAx>
      <c:valAx>
        <c:axId val="6443549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44487728"/>
        <c:crosses val="autoZero"/>
        <c:crossBetween val="between"/>
      </c:valAx>
      <c:spPr>
        <a:noFill/>
        <a:ln>
          <a:noFill/>
        </a:ln>
        <a:effectLst/>
      </c:spPr>
    </c:plotArea>
    <c:legend>
      <c:legendPos val="b"/>
      <c:layout>
        <c:manualLayout>
          <c:xMode val="edge"/>
          <c:yMode val="edge"/>
          <c:x val="0.34797048876353143"/>
          <c:y val="0.91582725935852349"/>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12</xdr:col>
      <xdr:colOff>1587499</xdr:colOff>
      <xdr:row>126</xdr:row>
      <xdr:rowOff>15875</xdr:rowOff>
    </xdr:to>
    <xdr:graphicFrame macro="">
      <xdr:nvGraphicFramePr>
        <xdr:cNvPr id="2" name="Chart 1">
          <a:extLst>
            <a:ext uri="{FF2B5EF4-FFF2-40B4-BE49-F238E27FC236}">
              <a16:creationId xmlns:a16="http://schemas.microsoft.com/office/drawing/2014/main" id="{A451CE9F-A8F3-1661-AFA2-73A41F801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-0.45</v>
    <v>-1.1019000000000001E-2</v>
    <v>0.06</v>
    <v>1.4860000000000001E-3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41.21</v>
    <v>Integrated Hardware &amp; Software</v>
    <v>Stock</v>
    <v>45132.973332349218</v>
    <v>40.369999999999997</v>
    <v>32540692219</v>
    <v>MOBILEYE GLOBAL INC.</v>
    <v>MOBILEYE GLOBAL INC.</v>
    <v>40.549999999999997</v>
    <v>40.840000000000003</v>
    <v>40.39</v>
    <v>40.450000000000003</v>
    <v>805662100</v>
    <v>MBLY</v>
    <v>MOBILEYE GLOBAL INC. (XNAS:MBLY)</v>
    <v>1221503</v>
    <v>2873857</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6" activePane="bottomRight" state="frozen"/>
      <selection pane="topRight"/>
      <selection pane="bottomLeft"/>
      <selection pane="bottomRight" activeCell="F125" sqref="F12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2758000000</v>
      </c>
      <c r="H3" s="25">
        <v>3884000000</v>
      </c>
      <c r="I3" s="25">
        <v>5613000000</v>
      </c>
      <c r="J3" s="25">
        <v>7164000000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0.31333333333333324</v>
      </c>
      <c r="H4" s="16">
        <f t="shared" si="0"/>
        <v>0.40826686004350976</v>
      </c>
      <c r="I4" s="16">
        <f t="shared" si="0"/>
        <v>0.44515962924819763</v>
      </c>
      <c r="J4" s="16">
        <f t="shared" si="0"/>
        <v>0.27632282202031</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K6" s="19" t="s">
        <v>111</v>
      </c>
      <c r="L6" s="20" t="s">
        <v>112</v>
      </c>
      <c r="M6" s="20" t="s">
        <v>113</v>
      </c>
      <c r="N6" s="20" t="s">
        <v>114</v>
      </c>
    </row>
    <row r="7" spans="1:38" ht="19" x14ac:dyDescent="0.25">
      <c r="A7" s="5" t="s">
        <v>4</v>
      </c>
      <c r="B7" s="2">
        <v>0.48120000000000002</v>
      </c>
      <c r="C7" s="2">
        <v>0.38879999999999998</v>
      </c>
      <c r="D7" s="2">
        <v>0.47260000000000002</v>
      </c>
      <c r="E7" s="2">
        <v>0.49330000000000002</v>
      </c>
      <c r="K7" s="17">
        <f>E7</f>
        <v>0.49330000000000002</v>
      </c>
      <c r="L7" s="21">
        <f>E21</f>
        <v>0.29909999999999998</v>
      </c>
      <c r="M7" s="21">
        <f>E30</f>
        <v>-4.3900000000000002E-2</v>
      </c>
      <c r="N7" s="21">
        <f>E107/E3</f>
        <v>0.23274478330658105</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6">
        <f>M101/E3</f>
        <v>17.410750250936328</v>
      </c>
      <c r="M16" s="36">
        <f>M101/E28</f>
        <v>-396.83770998780489</v>
      </c>
      <c r="N16" s="37">
        <f>M101/E107</f>
        <v>74.806189009195407</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156</v>
      </c>
      <c r="M18" s="20" t="s">
        <v>158</v>
      </c>
      <c r="N18" s="20" t="s">
        <v>157</v>
      </c>
    </row>
    <row r="19" spans="1:14" ht="19" x14ac:dyDescent="0.25">
      <c r="A19" s="6" t="s">
        <v>14</v>
      </c>
      <c r="B19" s="10">
        <v>-222000000</v>
      </c>
      <c r="C19" s="10">
        <v>257000000</v>
      </c>
      <c r="D19" s="10">
        <v>472000000</v>
      </c>
      <c r="E19" s="10">
        <v>559000000</v>
      </c>
      <c r="F19" s="31">
        <v>603400000</v>
      </c>
      <c r="G19" s="31">
        <v>876000000</v>
      </c>
      <c r="H19" s="31">
        <v>1376000000</v>
      </c>
      <c r="I19" s="31">
        <v>2186000000</v>
      </c>
      <c r="J19" s="31">
        <v>2223000000</v>
      </c>
      <c r="K19" s="27">
        <f>E40-E56-E61</f>
        <v>1024000000</v>
      </c>
      <c r="L19" s="36">
        <f>M101/F3</f>
        <v>15.495567723333334</v>
      </c>
      <c r="M19" s="36">
        <f>M101/F28</f>
        <v>63.308739725680937</v>
      </c>
      <c r="N19" s="37">
        <f>M101/F105</f>
        <v>85.912390731495648</v>
      </c>
    </row>
    <row r="20" spans="1:14" ht="19" customHeight="1" x14ac:dyDescent="0.25">
      <c r="A20" s="14" t="s">
        <v>100</v>
      </c>
      <c r="B20" s="1"/>
      <c r="C20" s="15">
        <f>(C19/B19)-1</f>
        <v>-2.1576576576576576</v>
      </c>
      <c r="D20" s="15">
        <f>(D19/C19)-1</f>
        <v>0.83657587548638124</v>
      </c>
      <c r="E20" s="15">
        <f>(E19/D19)-1</f>
        <v>0.18432203389830515</v>
      </c>
      <c r="F20" s="16">
        <f t="shared" ref="F20:J20" si="3">(F19/E19)-1</f>
        <v>7.9427549194990954E-2</v>
      </c>
      <c r="G20" s="16">
        <f t="shared" si="3"/>
        <v>0.45177328471992051</v>
      </c>
      <c r="H20" s="16">
        <f t="shared" si="3"/>
        <v>0.57077625570776247</v>
      </c>
      <c r="I20" s="16">
        <f t="shared" si="3"/>
        <v>0.58866279069767447</v>
      </c>
      <c r="J20" s="16">
        <f t="shared" si="3"/>
        <v>1.6925892040256185E-2</v>
      </c>
    </row>
    <row r="21" spans="1:14" ht="20" x14ac:dyDescent="0.25">
      <c r="A21" s="5" t="s">
        <v>15</v>
      </c>
      <c r="B21" s="2">
        <v>-0.25259999999999999</v>
      </c>
      <c r="C21" s="2">
        <v>0.26579999999999998</v>
      </c>
      <c r="D21" s="2">
        <v>0.34050000000000002</v>
      </c>
      <c r="E21" s="2">
        <v>0.29909999999999998</v>
      </c>
      <c r="F21" s="32">
        <f>F19/F3</f>
        <v>0.28733333333333333</v>
      </c>
      <c r="G21" s="32">
        <f t="shared" ref="G21:J21" si="4">G19/G3</f>
        <v>0.31762146482958664</v>
      </c>
      <c r="H21" s="32">
        <f t="shared" si="4"/>
        <v>0.35427394438722964</v>
      </c>
      <c r="I21" s="32">
        <f t="shared" si="4"/>
        <v>0.38945305540709069</v>
      </c>
      <c r="J21" s="32">
        <f t="shared" si="4"/>
        <v>0.31030150753768843</v>
      </c>
      <c r="M21" s="19" t="s">
        <v>164</v>
      </c>
      <c r="N21" s="20" t="s">
        <v>165</v>
      </c>
    </row>
    <row r="22" spans="1:14" ht="19" x14ac:dyDescent="0.25">
      <c r="A22" s="6" t="s">
        <v>16</v>
      </c>
      <c r="B22" s="10">
        <v>-86000000</v>
      </c>
      <c r="C22" s="10">
        <v>-213000000</v>
      </c>
      <c r="D22" s="10">
        <v>-57000000</v>
      </c>
      <c r="E22" s="10">
        <v>-37000000</v>
      </c>
      <c r="M22" s="41">
        <f>(-1*E98)/M101</f>
        <v>1.0356264019584407E-2</v>
      </c>
      <c r="N22" s="42">
        <f>E107/M101</f>
        <v>1.3367877888781061E-2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3">
        <v>514000000</v>
      </c>
      <c r="G28" s="33">
        <v>675000000</v>
      </c>
      <c r="H28" s="33">
        <v>1088000000</v>
      </c>
      <c r="I28" s="33">
        <v>1640000000</v>
      </c>
      <c r="J28" s="33">
        <v>1884000000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-7.2682926829268295</v>
      </c>
      <c r="G29" s="16">
        <f t="shared" si="5"/>
        <v>0.3132295719844358</v>
      </c>
      <c r="H29" s="16">
        <f t="shared" si="5"/>
        <v>0.61185185185185187</v>
      </c>
      <c r="I29" s="16">
        <f t="shared" si="5"/>
        <v>0.50735294117647056</v>
      </c>
      <c r="J29" s="16">
        <f t="shared" si="5"/>
        <v>0.14878048780487796</v>
      </c>
    </row>
    <row r="30" spans="1:14" ht="19" x14ac:dyDescent="0.25">
      <c r="A30" s="5" t="s">
        <v>23</v>
      </c>
      <c r="B30" s="2">
        <v>-0.37319999999999998</v>
      </c>
      <c r="C30" s="2">
        <v>-0.20269999999999999</v>
      </c>
      <c r="D30" s="2">
        <v>-5.4100000000000002E-2</v>
      </c>
      <c r="E30" s="2">
        <v>-4.3900000000000002E-2</v>
      </c>
      <c r="F30" s="34">
        <f>F28/F3</f>
        <v>0.24476190476190476</v>
      </c>
      <c r="G30" s="34">
        <f t="shared" ref="G30:J30" si="6">G28/G3</f>
        <v>0.24474256707759245</v>
      </c>
      <c r="H30" s="34">
        <f t="shared" si="6"/>
        <v>0.28012358393408859</v>
      </c>
      <c r="I30" s="34">
        <f t="shared" si="6"/>
        <v>0.29217887047924462</v>
      </c>
      <c r="J30" s="34">
        <f t="shared" si="6"/>
        <v>0.26298157453936349</v>
      </c>
    </row>
    <row r="31" spans="1:14" ht="19" x14ac:dyDescent="0.25">
      <c r="A31" s="5" t="s">
        <v>24</v>
      </c>
      <c r="B31" s="12">
        <v>-0.41</v>
      </c>
      <c r="C31" s="12">
        <v>-0.25</v>
      </c>
      <c r="D31" s="12">
        <v>-0.09</v>
      </c>
      <c r="E31" s="12">
        <v>-0.1</v>
      </c>
      <c r="F31" s="35">
        <v>0.64</v>
      </c>
      <c r="G31" s="35">
        <v>0.84</v>
      </c>
      <c r="H31" s="35">
        <v>1.35</v>
      </c>
      <c r="I31" s="35">
        <v>2.04</v>
      </c>
      <c r="J31" s="35">
        <v>2.34</v>
      </c>
    </row>
    <row r="32" spans="1:14" ht="19" x14ac:dyDescent="0.25">
      <c r="A32" s="5" t="s">
        <v>25</v>
      </c>
      <c r="B32" s="12">
        <v>-0.41</v>
      </c>
      <c r="C32" s="12">
        <v>-0.25</v>
      </c>
      <c r="D32" s="12">
        <v>-0.09</v>
      </c>
      <c r="E32" s="12">
        <v>-0.1</v>
      </c>
    </row>
    <row r="33" spans="1:5" ht="19" x14ac:dyDescent="0.25">
      <c r="A33" s="5" t="s">
        <v>26</v>
      </c>
      <c r="B33" s="1">
        <v>795761905</v>
      </c>
      <c r="C33" s="1">
        <v>795761905</v>
      </c>
      <c r="D33" s="1">
        <v>795761905</v>
      </c>
      <c r="E33" s="1">
        <v>795761905</v>
      </c>
    </row>
    <row r="34" spans="1:5" ht="19" x14ac:dyDescent="0.25">
      <c r="A34" s="5" t="s">
        <v>27</v>
      </c>
      <c r="B34" s="1">
        <v>795761905</v>
      </c>
      <c r="C34" s="1">
        <v>795761905</v>
      </c>
      <c r="D34" s="1">
        <v>795761905</v>
      </c>
      <c r="E34" s="1">
        <v>795761905</v>
      </c>
    </row>
    <row r="35" spans="1:5" ht="20" customHeight="1" x14ac:dyDescent="0.25">
      <c r="A35" s="14" t="s">
        <v>102</v>
      </c>
      <c r="B35" s="1"/>
      <c r="C35" s="23">
        <f>(C34-B34)/B34</f>
        <v>0</v>
      </c>
      <c r="D35" s="23">
        <f t="shared" ref="D35:E35" si="7">(D34-C34)/C34</f>
        <v>0</v>
      </c>
      <c r="E35" s="23">
        <f t="shared" si="7"/>
        <v>0</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t="s">
        <v>91</v>
      </c>
      <c r="C38" s="1">
        <v>85000000</v>
      </c>
      <c r="D38" s="1">
        <v>616000000</v>
      </c>
      <c r="E38" s="1">
        <v>1024000000</v>
      </c>
    </row>
    <row r="39" spans="1:5" ht="19" x14ac:dyDescent="0.25">
      <c r="A39" s="5" t="s">
        <v>31</v>
      </c>
      <c r="B39" s="1" t="s">
        <v>91</v>
      </c>
      <c r="C39" s="1" t="s">
        <v>91</v>
      </c>
      <c r="D39" s="1" t="s">
        <v>91</v>
      </c>
      <c r="E39" s="1" t="s">
        <v>91</v>
      </c>
    </row>
    <row r="40" spans="1:5" ht="19" x14ac:dyDescent="0.25">
      <c r="A40" s="5" t="s">
        <v>32</v>
      </c>
      <c r="B40" s="1" t="s">
        <v>91</v>
      </c>
      <c r="C40" s="1">
        <v>85000000</v>
      </c>
      <c r="D40" s="1">
        <v>616000000</v>
      </c>
      <c r="E40" s="1">
        <v>1024000000</v>
      </c>
    </row>
    <row r="41" spans="1:5" ht="19" x14ac:dyDescent="0.25">
      <c r="A41" s="5" t="s">
        <v>33</v>
      </c>
      <c r="B41" s="1" t="s">
        <v>91</v>
      </c>
      <c r="C41" s="1">
        <v>1425000000</v>
      </c>
      <c r="D41" s="1">
        <v>1481000000</v>
      </c>
      <c r="E41" s="1">
        <v>269000000</v>
      </c>
    </row>
    <row r="42" spans="1:5" ht="19" x14ac:dyDescent="0.25">
      <c r="A42" s="5" t="s">
        <v>34</v>
      </c>
      <c r="B42" s="1" t="s">
        <v>91</v>
      </c>
      <c r="C42" s="1">
        <v>128000000</v>
      </c>
      <c r="D42" s="1">
        <v>97000000</v>
      </c>
      <c r="E42" s="1">
        <v>113000000</v>
      </c>
    </row>
    <row r="43" spans="1:5" ht="19" x14ac:dyDescent="0.25">
      <c r="A43" s="5" t="s">
        <v>35</v>
      </c>
      <c r="B43" s="1" t="s">
        <v>91</v>
      </c>
      <c r="C43" s="1">
        <v>54000000</v>
      </c>
      <c r="D43" s="1">
        <v>76000000</v>
      </c>
      <c r="E43" s="1">
        <v>110000000</v>
      </c>
    </row>
    <row r="44" spans="1:5" ht="19" x14ac:dyDescent="0.25">
      <c r="A44" s="6" t="s">
        <v>36</v>
      </c>
      <c r="B44" s="10" t="s">
        <v>91</v>
      </c>
      <c r="C44" s="10">
        <v>1692000000</v>
      </c>
      <c r="D44" s="10">
        <v>2270000000</v>
      </c>
      <c r="E44" s="10">
        <v>1516000000</v>
      </c>
    </row>
    <row r="45" spans="1:5" ht="19" x14ac:dyDescent="0.25">
      <c r="A45" s="5" t="s">
        <v>37</v>
      </c>
      <c r="B45" s="1" t="s">
        <v>91</v>
      </c>
      <c r="C45" s="1">
        <v>187000000</v>
      </c>
      <c r="D45" s="1">
        <v>304000000</v>
      </c>
      <c r="E45" s="1">
        <v>384000000</v>
      </c>
    </row>
    <row r="46" spans="1:5" ht="19" x14ac:dyDescent="0.25">
      <c r="A46" s="5" t="s">
        <v>38</v>
      </c>
      <c r="B46" s="1" t="s">
        <v>91</v>
      </c>
      <c r="C46" s="1">
        <v>10895000000</v>
      </c>
      <c r="D46" s="1">
        <v>10895000000</v>
      </c>
      <c r="E46" s="1">
        <v>10895000000</v>
      </c>
    </row>
    <row r="47" spans="1:5" ht="19" x14ac:dyDescent="0.25">
      <c r="A47" s="5" t="s">
        <v>39</v>
      </c>
      <c r="B47" s="1" t="s">
        <v>91</v>
      </c>
      <c r="C47" s="1">
        <v>3580000000</v>
      </c>
      <c r="D47" s="1">
        <v>3071000000</v>
      </c>
      <c r="E47" s="1">
        <v>2527000000</v>
      </c>
    </row>
    <row r="48" spans="1:5"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21" x14ac:dyDescent="0.25">
      <c r="A83" s="5" t="s">
        <v>34</v>
      </c>
      <c r="B83" s="1">
        <v>-26000000</v>
      </c>
      <c r="C83" s="1">
        <v>-25000000</v>
      </c>
      <c r="D83" s="1">
        <v>31000000</v>
      </c>
      <c r="E83" s="1">
        <v>-16000000</v>
      </c>
      <c r="L83" s="65" t="s">
        <v>123</v>
      </c>
      <c r="M83" s="66"/>
    </row>
    <row r="84" spans="1:13" ht="19" x14ac:dyDescent="0.25">
      <c r="A84" s="5" t="s">
        <v>47</v>
      </c>
      <c r="B84" s="1" t="s">
        <v>91</v>
      </c>
      <c r="C84" s="1" t="s">
        <v>91</v>
      </c>
      <c r="D84" s="1" t="s">
        <v>91</v>
      </c>
      <c r="E84" s="1" t="s">
        <v>91</v>
      </c>
      <c r="L84" s="67" t="s">
        <v>124</v>
      </c>
      <c r="M84" s="67"/>
    </row>
    <row r="85" spans="1:13" ht="20" x14ac:dyDescent="0.25">
      <c r="A85" s="5" t="s">
        <v>71</v>
      </c>
      <c r="B85" s="1">
        <v>41000000</v>
      </c>
      <c r="C85" s="1">
        <v>37000000</v>
      </c>
      <c r="D85" s="1">
        <v>36000000</v>
      </c>
      <c r="E85" s="1">
        <v>-52000000</v>
      </c>
      <c r="L85" s="43" t="s">
        <v>125</v>
      </c>
      <c r="M85" s="44">
        <f>E17</f>
        <v>24000000</v>
      </c>
    </row>
    <row r="86" spans="1:13" ht="20" x14ac:dyDescent="0.25">
      <c r="A86" s="5" t="s">
        <v>72</v>
      </c>
      <c r="B86" s="1">
        <v>258000000</v>
      </c>
      <c r="C86" s="1">
        <v>2000000</v>
      </c>
      <c r="D86" s="1" t="s">
        <v>91</v>
      </c>
      <c r="E86" s="1">
        <v>34000000</v>
      </c>
      <c r="L86" s="43" t="s">
        <v>126</v>
      </c>
      <c r="M86" s="44">
        <f>E56</f>
        <v>0</v>
      </c>
    </row>
    <row r="87" spans="1:13" ht="20" x14ac:dyDescent="0.25">
      <c r="A87" s="6" t="s">
        <v>73</v>
      </c>
      <c r="B87" s="10">
        <v>300000000</v>
      </c>
      <c r="C87" s="10">
        <v>271000000</v>
      </c>
      <c r="D87" s="10">
        <v>599000000</v>
      </c>
      <c r="E87" s="10">
        <v>546000000</v>
      </c>
      <c r="L87" s="43" t="s">
        <v>127</v>
      </c>
      <c r="M87" s="44">
        <f>E61</f>
        <v>0</v>
      </c>
    </row>
    <row r="88" spans="1:13" ht="20" x14ac:dyDescent="0.25">
      <c r="A88" s="5" t="s">
        <v>74</v>
      </c>
      <c r="B88" s="1">
        <v>-44000000</v>
      </c>
      <c r="C88" s="1">
        <v>-91000000</v>
      </c>
      <c r="D88" s="1">
        <v>-143000000</v>
      </c>
      <c r="E88" s="1">
        <v>-111000000</v>
      </c>
      <c r="L88" s="45" t="s">
        <v>128</v>
      </c>
      <c r="M88" s="46">
        <f>0</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L89" s="43" t="s">
        <v>105</v>
      </c>
      <c r="M89" s="44">
        <f>E27</f>
        <v>50000000</v>
      </c>
    </row>
    <row r="90" spans="1:13" ht="20" x14ac:dyDescent="0.25">
      <c r="A90" s="5" t="s">
        <v>75</v>
      </c>
      <c r="B90" s="1" t="s">
        <v>91</v>
      </c>
      <c r="C90" s="1">
        <v>-745000000</v>
      </c>
      <c r="D90" s="1" t="s">
        <v>91</v>
      </c>
      <c r="E90" s="1" t="s">
        <v>91</v>
      </c>
      <c r="L90" s="43" t="s">
        <v>19</v>
      </c>
      <c r="M90" s="44">
        <f>E25</f>
        <v>-32000000</v>
      </c>
    </row>
    <row r="91" spans="1:13" ht="20" x14ac:dyDescent="0.25">
      <c r="A91" s="5" t="s">
        <v>76</v>
      </c>
      <c r="B91" s="1" t="s">
        <v>91</v>
      </c>
      <c r="C91" s="1" t="s">
        <v>91</v>
      </c>
      <c r="D91" s="1" t="s">
        <v>91</v>
      </c>
      <c r="E91" s="1" t="s">
        <v>91</v>
      </c>
      <c r="L91" s="45" t="s">
        <v>129</v>
      </c>
      <c r="M91" s="46">
        <f>M89/M90</f>
        <v>-1.5625</v>
      </c>
    </row>
    <row r="92" spans="1:13" ht="20" x14ac:dyDescent="0.25">
      <c r="A92" s="5" t="s">
        <v>77</v>
      </c>
      <c r="B92" s="1" t="s">
        <v>91</v>
      </c>
      <c r="C92" s="1" t="s">
        <v>91</v>
      </c>
      <c r="D92" s="1" t="s">
        <v>91</v>
      </c>
      <c r="E92" s="1" t="s">
        <v>91</v>
      </c>
      <c r="L92" s="45" t="s">
        <v>130</v>
      </c>
      <c r="M92" s="46">
        <f>M88*(1-M91)</f>
        <v>0</v>
      </c>
    </row>
    <row r="93" spans="1:13" ht="19" x14ac:dyDescent="0.25">
      <c r="A93" s="5" t="s">
        <v>78</v>
      </c>
      <c r="B93" s="1">
        <v>-181000000</v>
      </c>
      <c r="C93" s="1">
        <v>-129000000</v>
      </c>
      <c r="D93" s="1">
        <v>-14000000</v>
      </c>
      <c r="E93" s="1">
        <v>1298000000</v>
      </c>
      <c r="L93" s="67" t="s">
        <v>131</v>
      </c>
      <c r="M93" s="67"/>
    </row>
    <row r="94" spans="1:13" ht="20" x14ac:dyDescent="0.25">
      <c r="A94" s="6" t="s">
        <v>79</v>
      </c>
      <c r="B94" s="10">
        <v>-225000000</v>
      </c>
      <c r="C94" s="10">
        <v>-965000000</v>
      </c>
      <c r="D94" s="10">
        <v>-157000000</v>
      </c>
      <c r="E94" s="10">
        <v>1187000000</v>
      </c>
      <c r="L94" s="43" t="s">
        <v>132</v>
      </c>
      <c r="M94" s="47">
        <f>[1]Treasuries!$C$8</f>
        <v>3.9120000000000002E-2</v>
      </c>
    </row>
    <row r="95" spans="1:13" ht="20" x14ac:dyDescent="0.25">
      <c r="A95" s="5" t="s">
        <v>80</v>
      </c>
      <c r="B95" s="1" t="s">
        <v>91</v>
      </c>
      <c r="C95" s="1" t="s">
        <v>91</v>
      </c>
      <c r="D95" s="1" t="s">
        <v>91</v>
      </c>
      <c r="E95" s="1" t="s">
        <v>91</v>
      </c>
      <c r="L95" s="43" t="s">
        <v>133</v>
      </c>
      <c r="M95" s="48">
        <v>1.53</v>
      </c>
    </row>
    <row r="96" spans="1:13" ht="20" x14ac:dyDescent="0.25">
      <c r="A96" s="5" t="s">
        <v>81</v>
      </c>
      <c r="B96" s="1" t="s">
        <v>91</v>
      </c>
      <c r="C96" s="1" t="s">
        <v>91</v>
      </c>
      <c r="D96" s="1" t="s">
        <v>91</v>
      </c>
      <c r="E96" s="1">
        <v>1034000000</v>
      </c>
      <c r="L96" s="43" t="s">
        <v>134</v>
      </c>
      <c r="M96" s="47">
        <v>8.4000000000000005E-2</v>
      </c>
    </row>
    <row r="97" spans="1:13" ht="20" x14ac:dyDescent="0.25">
      <c r="A97" s="5" t="s">
        <v>82</v>
      </c>
      <c r="B97" s="1" t="s">
        <v>91</v>
      </c>
      <c r="C97" s="1" t="s">
        <v>91</v>
      </c>
      <c r="D97" s="1" t="s">
        <v>91</v>
      </c>
      <c r="E97" s="1" t="s">
        <v>91</v>
      </c>
      <c r="L97" s="45" t="s">
        <v>135</v>
      </c>
      <c r="M97" s="46">
        <f>(M94)+((M95)*(M96-M94))</f>
        <v>0.1077864</v>
      </c>
    </row>
    <row r="98" spans="1:13" ht="19" x14ac:dyDescent="0.25">
      <c r="A98" s="5" t="s">
        <v>83</v>
      </c>
      <c r="B98" s="1" t="s">
        <v>91</v>
      </c>
      <c r="C98" s="1" t="s">
        <v>91</v>
      </c>
      <c r="D98" s="1" t="s">
        <v>91</v>
      </c>
      <c r="E98" s="1">
        <v>-337000000</v>
      </c>
      <c r="L98" s="67" t="s">
        <v>136</v>
      </c>
      <c r="M98" s="67"/>
    </row>
    <row r="99" spans="1:13" ht="20" x14ac:dyDescent="0.25">
      <c r="A99" s="5" t="s">
        <v>84</v>
      </c>
      <c r="B99" s="1">
        <v>-59000000</v>
      </c>
      <c r="C99" s="1">
        <v>732000000</v>
      </c>
      <c r="D99" s="1">
        <v>91000000</v>
      </c>
      <c r="E99" s="1">
        <v>-2014000000</v>
      </c>
      <c r="L99" s="43" t="s">
        <v>137</v>
      </c>
      <c r="M99" s="44">
        <f>M86+M87</f>
        <v>0</v>
      </c>
    </row>
    <row r="100" spans="1:13" ht="20" x14ac:dyDescent="0.25">
      <c r="A100" s="6" t="s">
        <v>85</v>
      </c>
      <c r="B100" s="10">
        <v>-59000000</v>
      </c>
      <c r="C100" s="10">
        <v>732000000</v>
      </c>
      <c r="D100" s="10">
        <v>91000000</v>
      </c>
      <c r="E100" s="10">
        <v>-1317000000</v>
      </c>
      <c r="L100" s="45" t="s">
        <v>138</v>
      </c>
      <c r="M100" s="46">
        <f>M99/M103</f>
        <v>0</v>
      </c>
    </row>
    <row r="101" spans="1:13" ht="20" x14ac:dyDescent="0.25">
      <c r="A101" s="5" t="s">
        <v>86</v>
      </c>
      <c r="B101" s="1" t="s">
        <v>91</v>
      </c>
      <c r="C101" s="1" t="s">
        <v>91</v>
      </c>
      <c r="D101" s="1">
        <v>-1000000</v>
      </c>
      <c r="E101" s="1">
        <v>-6000000</v>
      </c>
      <c r="L101" s="43" t="s">
        <v>139</v>
      </c>
      <c r="M101" s="49" cm="1">
        <f t="array" ref="M101">_FV(A1,"Market cap",TRUE)</f>
        <v>32540692219</v>
      </c>
    </row>
    <row r="102" spans="1:13" ht="20" x14ac:dyDescent="0.25">
      <c r="A102" s="6" t="s">
        <v>87</v>
      </c>
      <c r="B102" s="10">
        <v>16000000</v>
      </c>
      <c r="C102" s="10">
        <v>38000000</v>
      </c>
      <c r="D102" s="10">
        <v>532000000</v>
      </c>
      <c r="E102" s="10">
        <v>410000000</v>
      </c>
      <c r="L102" s="45" t="s">
        <v>140</v>
      </c>
      <c r="M102" s="46">
        <f>M101/M103</f>
        <v>1</v>
      </c>
    </row>
    <row r="103" spans="1:13" ht="20" x14ac:dyDescent="0.25">
      <c r="A103" s="5" t="s">
        <v>88</v>
      </c>
      <c r="B103" s="1">
        <v>39000000</v>
      </c>
      <c r="C103" s="1">
        <v>55000000</v>
      </c>
      <c r="D103" s="1">
        <v>93000000</v>
      </c>
      <c r="E103" s="1">
        <v>625000000</v>
      </c>
      <c r="L103" s="45" t="s">
        <v>141</v>
      </c>
      <c r="M103" s="50">
        <f>M99+M101</f>
        <v>32540692219</v>
      </c>
    </row>
    <row r="104" spans="1:13" ht="20" thickBot="1" x14ac:dyDescent="0.3">
      <c r="A104" s="7" t="s">
        <v>89</v>
      </c>
      <c r="B104" s="11">
        <v>55000000</v>
      </c>
      <c r="C104" s="11">
        <v>93000000</v>
      </c>
      <c r="D104" s="11">
        <v>625000000</v>
      </c>
      <c r="E104" s="11">
        <v>1035000000</v>
      </c>
      <c r="L104" s="67" t="s">
        <v>142</v>
      </c>
      <c r="M104" s="67"/>
    </row>
    <row r="105" spans="1:13" ht="21" thickTop="1" x14ac:dyDescent="0.25">
      <c r="A105" s="14" t="s">
        <v>161</v>
      </c>
      <c r="B105" s="1">
        <f t="shared" ref="B105:D105" si="10">(B22*(1-0.2))+B77+B88+B81</f>
        <v>213200000</v>
      </c>
      <c r="C105" s="1">
        <f t="shared" si="10"/>
        <v>171600000</v>
      </c>
      <c r="D105" s="1">
        <f t="shared" si="10"/>
        <v>417400000</v>
      </c>
      <c r="E105" s="1">
        <f>(E22*(1-0.2))+E77+E88+E81</f>
        <v>288400000</v>
      </c>
      <c r="F105" s="28">
        <f>E105*(1+$M$106)</f>
        <v>378765995.70718873</v>
      </c>
      <c r="G105" s="28">
        <f t="shared" ref="G105:J105" si="11">F105*(1+$M$106)</f>
        <v>497446877.61462593</v>
      </c>
      <c r="H105" s="28">
        <f t="shared" si="11"/>
        <v>653314708.4297359</v>
      </c>
      <c r="I105" s="28">
        <f t="shared" si="11"/>
        <v>858021484.21824062</v>
      </c>
      <c r="J105" s="28">
        <f t="shared" si="11"/>
        <v>1126870186.5744863</v>
      </c>
      <c r="K105" s="29" t="s">
        <v>163</v>
      </c>
      <c r="L105" s="51" t="s">
        <v>106</v>
      </c>
      <c r="M105" s="52">
        <f>(M100*M92)+(M102*M97)</f>
        <v>0.1077864</v>
      </c>
    </row>
    <row r="106" spans="1:13" ht="19" x14ac:dyDescent="0.25">
      <c r="A106" s="14" t="s">
        <v>160</v>
      </c>
      <c r="B106" s="1"/>
      <c r="C106" s="15">
        <f>(C107/B107)-1</f>
        <v>-0.296875</v>
      </c>
      <c r="D106" s="15">
        <f>(D107/C107)-1</f>
        <v>1.5333333333333332</v>
      </c>
      <c r="E106" s="15">
        <f>(E107/D107)-1</f>
        <v>-4.6052631578947345E-2</v>
      </c>
      <c r="F106" s="38">
        <v>659300000</v>
      </c>
      <c r="G106" s="38">
        <v>1323000000</v>
      </c>
      <c r="H106" s="38">
        <v>2227000000</v>
      </c>
      <c r="I106" s="38">
        <v>3554000000</v>
      </c>
      <c r="J106" s="38">
        <v>3676000000</v>
      </c>
      <c r="K106" s="29" t="s">
        <v>162</v>
      </c>
      <c r="L106" s="53" t="s">
        <v>143</v>
      </c>
      <c r="M106" s="54">
        <f>(SUM(F4:J4)/5)</f>
        <v>0.31333563005266563</v>
      </c>
    </row>
    <row r="107" spans="1:13" ht="19" x14ac:dyDescent="0.25">
      <c r="A107" s="40" t="s">
        <v>159</v>
      </c>
      <c r="B107" s="1">
        <v>256000000</v>
      </c>
      <c r="C107" s="1">
        <v>180000000</v>
      </c>
      <c r="D107" s="1">
        <v>456000000</v>
      </c>
      <c r="E107" s="1">
        <v>435000000</v>
      </c>
      <c r="F107" s="29"/>
      <c r="G107" s="29"/>
      <c r="H107" s="29"/>
      <c r="I107" s="29"/>
      <c r="J107" s="39">
        <f>J106*(1+M107)/(M108-M107)</f>
        <v>45513514297.034286</v>
      </c>
      <c r="K107" s="30" t="s">
        <v>144</v>
      </c>
      <c r="L107" s="55" t="s">
        <v>145</v>
      </c>
      <c r="M107" s="56">
        <v>2.5000000000000001E-2</v>
      </c>
    </row>
    <row r="108" spans="1:13" ht="19" x14ac:dyDescent="0.25">
      <c r="F108" s="39">
        <f t="shared" ref="F108:I108" si="12">F107+F106</f>
        <v>659300000</v>
      </c>
      <c r="G108" s="39">
        <f t="shared" si="12"/>
        <v>1323000000</v>
      </c>
      <c r="H108" s="39">
        <f t="shared" si="12"/>
        <v>2227000000</v>
      </c>
      <c r="I108" s="39">
        <f t="shared" si="12"/>
        <v>3554000000</v>
      </c>
      <c r="J108" s="39">
        <f>J107+J106</f>
        <v>49189514297.034286</v>
      </c>
      <c r="K108" s="30" t="s">
        <v>141</v>
      </c>
      <c r="L108" s="57" t="s">
        <v>146</v>
      </c>
      <c r="M108" s="54">
        <f>M105</f>
        <v>0.1077864</v>
      </c>
    </row>
    <row r="109" spans="1:13" ht="19" x14ac:dyDescent="0.25">
      <c r="F109" s="64" t="s">
        <v>147</v>
      </c>
      <c r="G109" s="64"/>
    </row>
    <row r="110" spans="1:13" ht="20" x14ac:dyDescent="0.25">
      <c r="F110" s="58" t="s">
        <v>148</v>
      </c>
      <c r="G110" s="49">
        <f>NPV(M108,F108,G108,H108,I108,J108)</f>
        <v>35155671892.057938</v>
      </c>
    </row>
    <row r="111" spans="1:13" ht="20" x14ac:dyDescent="0.25">
      <c r="F111" s="58" t="s">
        <v>149</v>
      </c>
      <c r="G111" s="49">
        <f>E40</f>
        <v>1024000000</v>
      </c>
    </row>
    <row r="112" spans="1:13" ht="20" x14ac:dyDescent="0.25">
      <c r="F112" s="58" t="s">
        <v>137</v>
      </c>
      <c r="G112" s="49">
        <f>M99</f>
        <v>0</v>
      </c>
    </row>
    <row r="113" spans="6:7" ht="20" x14ac:dyDescent="0.25">
      <c r="F113" s="58" t="s">
        <v>150</v>
      </c>
      <c r="G113" s="49">
        <f>G110+G111-G112</f>
        <v>36179671892.057938</v>
      </c>
    </row>
    <row r="114" spans="6:7" ht="20" x14ac:dyDescent="0.25">
      <c r="F114" s="58" t="s">
        <v>166</v>
      </c>
      <c r="G114" s="58">
        <f>E34*(1+(K16*5))</f>
        <v>795761905</v>
      </c>
    </row>
    <row r="115" spans="6:7" ht="20" x14ac:dyDescent="0.25">
      <c r="F115" s="59" t="s">
        <v>151</v>
      </c>
      <c r="G115" s="60">
        <f>G113/G114</f>
        <v>45.465448477403477</v>
      </c>
    </row>
    <row r="116" spans="6:7" ht="20" x14ac:dyDescent="0.25">
      <c r="F116" s="58" t="s">
        <v>152</v>
      </c>
      <c r="G116" s="61" cm="1">
        <f t="array" ref="G116">_FV(A1,"Price")</f>
        <v>40.39</v>
      </c>
    </row>
    <row r="117" spans="6:7" ht="20" x14ac:dyDescent="0.25">
      <c r="F117" s="59" t="s">
        <v>153</v>
      </c>
      <c r="G117" s="62">
        <f>G115/G116-1</f>
        <v>0.12566101701915011</v>
      </c>
    </row>
    <row r="118" spans="6:7" ht="20" x14ac:dyDescent="0.25">
      <c r="F118" s="59" t="s">
        <v>154</v>
      </c>
      <c r="G118" s="63" t="str">
        <f>IF(G115&gt;G116,"BUY","SELL")</f>
        <v>BUY</v>
      </c>
    </row>
  </sheetData>
  <mergeCells count="6">
    <mergeCell ref="F109:G109"/>
    <mergeCell ref="L83:M83"/>
    <mergeCell ref="L84:M84"/>
    <mergeCell ref="L93:M93"/>
    <mergeCell ref="L98:M98"/>
    <mergeCell ref="L104:M10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6"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2023-03-12T22:12:45Z</dcterms:created>
  <dcterms:modified xsi:type="dcterms:W3CDTF">2023-07-29T06:10:37Z</dcterms:modified>
</cp:coreProperties>
</file>