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4F38D72E-CB4D-8848-ACC5-DC7EFC7E3DFF}"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1" l="1"/>
  <c r="G4" i="1"/>
  <c r="H4" i="1"/>
  <c r="I4" i="1"/>
  <c r="J4" i="1"/>
  <c r="K4" i="1"/>
  <c r="L4" i="1"/>
  <c r="M4" i="1"/>
  <c r="N4" i="1"/>
  <c r="O4" i="1"/>
  <c r="P4" i="1"/>
  <c r="Q4" i="1"/>
  <c r="R4" i="1"/>
  <c r="S4" i="1"/>
  <c r="T4" i="1"/>
  <c r="U4" i="1"/>
  <c r="V4" i="1"/>
  <c r="X21" i="1"/>
  <c r="Y21" i="1"/>
  <c r="Z21" i="1"/>
  <c r="AA21" i="1"/>
  <c r="W21" i="1"/>
  <c r="X30" i="1"/>
  <c r="Y30" i="1"/>
  <c r="Z30" i="1"/>
  <c r="AA30" i="1"/>
  <c r="W30" i="1"/>
  <c r="W29" i="1"/>
  <c r="X29" i="1"/>
  <c r="Y29" i="1"/>
  <c r="Z29" i="1"/>
  <c r="AA29" i="1"/>
  <c r="W20" i="1"/>
  <c r="X20" i="1"/>
  <c r="Y20" i="1"/>
  <c r="Z20" i="1"/>
  <c r="AA20" i="1"/>
  <c r="X114" i="1" l="1"/>
  <c r="X105" i="1"/>
  <c r="Y105" i="1" s="1"/>
  <c r="Z105" i="1" s="1"/>
  <c r="AA105" i="1" s="1"/>
  <c r="W105" i="1"/>
  <c r="C105" i="1"/>
  <c r="D105" i="1"/>
  <c r="E105" i="1"/>
  <c r="F105" i="1"/>
  <c r="G105" i="1"/>
  <c r="H105" i="1"/>
  <c r="I105" i="1"/>
  <c r="J105" i="1"/>
  <c r="K105" i="1"/>
  <c r="L105" i="1"/>
  <c r="M105" i="1"/>
  <c r="N105" i="1"/>
  <c r="O105" i="1"/>
  <c r="P105" i="1"/>
  <c r="Q105" i="1"/>
  <c r="R105" i="1"/>
  <c r="S105" i="1"/>
  <c r="T105" i="1"/>
  <c r="U105" i="1"/>
  <c r="V105" i="1"/>
  <c r="X116" i="1" l="1" a="1"/>
  <c r="X116" i="1" s="1"/>
  <c r="AD19" i="1" s="1"/>
  <c r="AD101" i="1" a="1"/>
  <c r="AD101" i="1" s="1"/>
  <c r="AD95" i="1" a="1"/>
  <c r="AD95" i="1" s="1"/>
  <c r="X111" i="1"/>
  <c r="AD90" i="1"/>
  <c r="AD89" i="1"/>
  <c r="AD91" i="1" s="1"/>
  <c r="AD87" i="1"/>
  <c r="AD86" i="1"/>
  <c r="AD99" i="1" s="1"/>
  <c r="AD85" i="1"/>
  <c r="AD88" i="1" s="1"/>
  <c r="AB19" i="1"/>
  <c r="AB16" i="1"/>
  <c r="AE13" i="1"/>
  <c r="AD13" i="1"/>
  <c r="AC13" i="1"/>
  <c r="AB13" i="1"/>
  <c r="AE10" i="1"/>
  <c r="AD10" i="1"/>
  <c r="AC10" i="1"/>
  <c r="AB10" i="1"/>
  <c r="AE7" i="1"/>
  <c r="AD7" i="1"/>
  <c r="AC7" i="1"/>
  <c r="AB7" i="1"/>
  <c r="AD4" i="1"/>
  <c r="AC4" i="1"/>
  <c r="AB4" i="1"/>
  <c r="AA4" i="1"/>
  <c r="Z4" i="1"/>
  <c r="Y4" i="1"/>
  <c r="X4" i="1"/>
  <c r="W4" i="1"/>
  <c r="V106" i="1"/>
  <c r="AE4" i="1" s="1"/>
  <c r="U106" i="1"/>
  <c r="T106" i="1"/>
  <c r="S106" i="1"/>
  <c r="R106" i="1"/>
  <c r="Q106" i="1"/>
  <c r="P106" i="1"/>
  <c r="O106" i="1"/>
  <c r="N106" i="1"/>
  <c r="M106" i="1"/>
  <c r="L106" i="1"/>
  <c r="K106" i="1"/>
  <c r="J106" i="1"/>
  <c r="I106" i="1"/>
  <c r="H106" i="1"/>
  <c r="G106" i="1"/>
  <c r="F106" i="1"/>
  <c r="E106" i="1"/>
  <c r="D106" i="1"/>
  <c r="C106"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U9" i="1"/>
  <c r="T9" i="1"/>
  <c r="S9" i="1"/>
  <c r="R9" i="1"/>
  <c r="Q9" i="1"/>
  <c r="P9" i="1"/>
  <c r="O9" i="1"/>
  <c r="N9" i="1"/>
  <c r="M9" i="1"/>
  <c r="L9" i="1"/>
  <c r="K9" i="1"/>
  <c r="J9" i="1"/>
  <c r="I9" i="1"/>
  <c r="H9" i="1"/>
  <c r="G9" i="1"/>
  <c r="F9" i="1"/>
  <c r="E9" i="1"/>
  <c r="D9" i="1"/>
  <c r="C9" i="1"/>
  <c r="B9" i="1"/>
  <c r="E4" i="1"/>
  <c r="D4" i="1"/>
  <c r="C4" i="1"/>
  <c r="AE22" i="1" l="1"/>
  <c r="AD22" i="1"/>
  <c r="AE19" i="1"/>
  <c r="AC19" i="1"/>
  <c r="AD106" i="1"/>
  <c r="AD16" i="1"/>
  <c r="AE16" i="1"/>
  <c r="AC16" i="1"/>
  <c r="AD92" i="1"/>
  <c r="X108" i="1"/>
  <c r="AD103" i="1"/>
  <c r="AD100" i="1" s="1"/>
  <c r="X112" i="1"/>
  <c r="W108" i="1"/>
  <c r="AD102" i="1" l="1"/>
  <c r="Y108" i="1"/>
  <c r="Z108" i="1" l="1"/>
  <c r="AD94" i="1" l="1"/>
  <c r="AD97" i="1" s="1"/>
  <c r="AD105" i="1" s="1"/>
  <c r="AD108" i="1" s="1"/>
  <c r="AA107" i="1" s="1"/>
  <c r="AA108" i="1" s="1"/>
  <c r="X110" i="1" s="1"/>
  <c r="X113" i="1" s="1"/>
  <c r="X115" i="1" s="1"/>
  <c r="X118" i="1" l="1"/>
  <c r="X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<sst xmlns="http://schemas.openxmlformats.org/spreadsheetml/2006/main" count="764" uniqueCount="167">
  <si>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</si>
  <si>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</si>
  <si>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</si>
  <si>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</si>
  <si>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</si>
  <si>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</si>
  <si>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</si>
  <si>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</si>
  <si>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</si>
  <si>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</si>
  <si>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</si>
  <si>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</si>
  <si>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</si>
  <si>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</si>
  <si>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</si>
  <si>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</si>
  <si>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</si>
  <si>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</si>
  <si>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</si>
  <si>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</si>
  <si>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</si>
  <si>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</si>
  <si>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</si>
  <si>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</si>
  <si>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</si>
  <si>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</si>
  <si>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</si>
  <si>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</si>
  <si>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</si>
  <si>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</si>
  <si>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</si>
  <si>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</si>
  <si>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</si>
  <si>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</si>
  <si>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</si>
  <si>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</si>
  <si>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</si>
  <si>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</si>
  <si>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</si>
  <si>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</si>
  <si>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</si>
  <si>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</si>
  <si>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</si>
  <si>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</si>
  <si>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</si>
  <si>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</si>
  <si>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</si>
  <si>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</si>
  <si>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</si>
  <si>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</si>
  <si>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</si>
  <si>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</si>
  <si>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</si>
  <si>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</si>
  <si>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</si>
  <si>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</si>
  <si>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</si>
  <si>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</si>
  <si>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</si>
  <si>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</si>
  <si>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</si>
  <si>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</si>
  <si>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</si>
  <si>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</si>
  <si>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</si>
  <si>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</si>
  <si>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</si>
  <si>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</si>
  <si>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</si>
  <si>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</si>
  <si>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</si>
  <si>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</si>
  <si>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</si>
  <si>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</si>
  <si>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</si>
  <si>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</si>
  <si>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</si>
  <si>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</si>
  <si>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</si>
  <si>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</si>
  <si>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</si>
  <si>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</si>
  <si>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</si>
  <si>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</si>
  <si>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</si>
  <si>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</si>
  <si>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</si>
  <si>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</si>
  <si>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</si>
  <si>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</si>
  <si>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</si>
  <si>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</si>
  <si>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</si>
  <si>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</si>
  <si>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</si>
  <si>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</si>
  <si>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</si>
  <si>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</si>
  <si>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</si>
  <si>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</si>
  <si>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</si>
  <si>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</si>
  <si>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</si>
  <si>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</si>
  <si>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</si>
  <si>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</si>
  <si>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</si>
  <si>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</si>
  <si>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</si>
  <si>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</si>
  <si>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</si>
  <si>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</si>
  <si>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</si>
  <si>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</si>
  <si>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</si>
  <si>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</si>
  <si>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</si>
  <si>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</si>
  <si>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</si>
  <si>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</si>
  <si>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</si>
  <si>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</si>
  <si>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</si>
  <si>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</si>
  <si>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</si>
  <si>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</si>
  <si>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</si>
  <si>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</si>
  <si>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</si>
  <si>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</si>
  <si>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</si>
  <si>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</si>
  <si>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</si>
  <si>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</si>
  <si>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</si>
  <si>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</si>
  <si>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</si>
  <si>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</si>
  <si>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</si>
  <si>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</si>
  <si>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</si>
  <si>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</si>
  <si>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</si>
  <si>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</si>
  <si>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</si>
  <si>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</si>
  <si>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</si>
  <si>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</si>
  <si>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</si>
  <si>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</si>
  <si>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</si>
  <si>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</si>
  <si>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</si>
  <si>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</si>
  <si>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</si>
  <si>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</si>
  <si>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</si>
  <si>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 Proj</t>
  </si>
  <si>
    <t>Unlevered FCF Forecast</t>
  </si>
  <si>
    <t>Unlevered FCF</t>
  </si>
  <si>
    <t>Levered FCF Growth YoY</t>
  </si>
  <si>
    <t>Levered FCF</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</si>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</sst>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0" fillId="7" borderId="0" xfId="0" applyNumberFormat="1" applyFont="1" applyFill="1"/>
    <xf numFmtId="164" fontId="1" fillId="7" borderId="0" xfId="0" applyNumberFormat="1" applyFont="1" applyFill="1"/>
    <xf numFmtId="0" fontId="1" fillId="0" borderId="0" xfId="0" applyFont="1" applyAlignment="1">
      <alignment indent="1"/>
    </xf>
    <xf numFmtId="169" fontId="11" fillId="0" borderId="9" xfId="0" applyNumberFormat="1" applyFont="1" applyBorder="1" applyAlignment="1">
      <alignment horizontal="center"/>
    </xf>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0" xfId="0" applyNumberFormat="1" applyFont="1" applyBorder="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Super Micro Computer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41254125412542E-2"/>
          <c:y val="0.1514440533642972"/>
          <c:w val="0.82205940594059401"/>
          <c:h val="0.6554062193838673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1'!$B$1:$V$1</c:f>
              <c:numCache>
                <c:formatCode>General</c:formatCode>
                <c:ptCount val="21"/>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numCache>
            </c:numRef>
          </c:cat>
          <c:val>
            <c:numRef>
              <c:f>'Sheet 1'!$B$3:$V$3</c:f>
              <c:numCache>
                <c:formatCode>#,###,,;\(#,###,,\);\ \-\ \-</c:formatCode>
                <c:ptCount val="21"/>
                <c:pt idx="0">
                  <c:v>89339000</c:v>
                </c:pt>
                <c:pt idx="1">
                  <c:v>137161000</c:v>
                </c:pt>
                <c:pt idx="2">
                  <c:v>167065000</c:v>
                </c:pt>
                <c:pt idx="3">
                  <c:v>211763000</c:v>
                </c:pt>
                <c:pt idx="4">
                  <c:v>302541000</c:v>
                </c:pt>
                <c:pt idx="5">
                  <c:v>420393000</c:v>
                </c:pt>
                <c:pt idx="6">
                  <c:v>540503000</c:v>
                </c:pt>
                <c:pt idx="7">
                  <c:v>505609000</c:v>
                </c:pt>
                <c:pt idx="8">
                  <c:v>721438000</c:v>
                </c:pt>
                <c:pt idx="9">
                  <c:v>942582000</c:v>
                </c:pt>
                <c:pt idx="10">
                  <c:v>1013874000</c:v>
                </c:pt>
                <c:pt idx="11">
                  <c:v>1162561000</c:v>
                </c:pt>
                <c:pt idx="12">
                  <c:v>1467202000</c:v>
                </c:pt>
                <c:pt idx="13">
                  <c:v>1991155000</c:v>
                </c:pt>
                <c:pt idx="14">
                  <c:v>2215573000</c:v>
                </c:pt>
                <c:pt idx="15">
                  <c:v>2484929000</c:v>
                </c:pt>
                <c:pt idx="16">
                  <c:v>3360492000</c:v>
                </c:pt>
                <c:pt idx="17">
                  <c:v>3500360000</c:v>
                </c:pt>
                <c:pt idx="18">
                  <c:v>3339281000</c:v>
                </c:pt>
                <c:pt idx="19">
                  <c:v>3557422000</c:v>
                </c:pt>
                <c:pt idx="20">
                  <c:v>5196099000</c:v>
                </c:pt>
              </c:numCache>
            </c:numRef>
          </c:val>
          <c:extLst>
            <c:ext xmlns:c16="http://schemas.microsoft.com/office/drawing/2014/chart" uri="{C3380CC4-5D6E-409C-BE32-E72D297353CC}">
              <c16:uniqueId val="{00000000-94E0-4649-AB54-DE2B48B99FFA}"/>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1'!$B$1:$V$1</c:f>
              <c:numCache>
                <c:formatCode>General</c:formatCode>
                <c:ptCount val="21"/>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numCache>
            </c:numRef>
          </c:cat>
          <c:val>
            <c:numRef>
              <c:f>'Sheet 1'!$B$28:$V$28</c:f>
              <c:numCache>
                <c:formatCode>#,###,,;\(#,###,,\);\ \-\ \-</c:formatCode>
                <c:ptCount val="21"/>
                <c:pt idx="0">
                  <c:v>2202000</c:v>
                </c:pt>
                <c:pt idx="1">
                  <c:v>3517000</c:v>
                </c:pt>
                <c:pt idx="2">
                  <c:v>4854000</c:v>
                </c:pt>
                <c:pt idx="3">
                  <c:v>7090000</c:v>
                </c:pt>
                <c:pt idx="4">
                  <c:v>16947000</c:v>
                </c:pt>
                <c:pt idx="5">
                  <c:v>19339000</c:v>
                </c:pt>
                <c:pt idx="6">
                  <c:v>25419000</c:v>
                </c:pt>
                <c:pt idx="7">
                  <c:v>16107000</c:v>
                </c:pt>
                <c:pt idx="8">
                  <c:v>26915000</c:v>
                </c:pt>
                <c:pt idx="9">
                  <c:v>40213000</c:v>
                </c:pt>
                <c:pt idx="10">
                  <c:v>29853000</c:v>
                </c:pt>
                <c:pt idx="11">
                  <c:v>21279000</c:v>
                </c:pt>
                <c:pt idx="12">
                  <c:v>54157000</c:v>
                </c:pt>
                <c:pt idx="13">
                  <c:v>101863000</c:v>
                </c:pt>
                <c:pt idx="14">
                  <c:v>72021000</c:v>
                </c:pt>
                <c:pt idx="15">
                  <c:v>66854000</c:v>
                </c:pt>
                <c:pt idx="16">
                  <c:v>46165000</c:v>
                </c:pt>
                <c:pt idx="17">
                  <c:v>71918000</c:v>
                </c:pt>
                <c:pt idx="18">
                  <c:v>84308000</c:v>
                </c:pt>
                <c:pt idx="19">
                  <c:v>111865000</c:v>
                </c:pt>
                <c:pt idx="20">
                  <c:v>285163000</c:v>
                </c:pt>
              </c:numCache>
            </c:numRef>
          </c:val>
          <c:extLst>
            <c:ext xmlns:c16="http://schemas.microsoft.com/office/drawing/2014/chart" uri="{C3380CC4-5D6E-409C-BE32-E72D297353CC}">
              <c16:uniqueId val="{00000001-94E0-4649-AB54-DE2B48B99FFA}"/>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1'!$B$1:$V$1</c:f>
              <c:numCache>
                <c:formatCode>General</c:formatCode>
                <c:ptCount val="21"/>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numCache>
            </c:numRef>
          </c:cat>
          <c:val>
            <c:numRef>
              <c:f>'Sheet 1'!$B$107:$V$107</c:f>
              <c:numCache>
                <c:formatCode>#,###,,;\(#,###,,\);\ \-\ \-</c:formatCode>
                <c:ptCount val="21"/>
                <c:pt idx="0">
                  <c:v>0</c:v>
                </c:pt>
                <c:pt idx="1">
                  <c:v>0</c:v>
                </c:pt>
                <c:pt idx="2">
                  <c:v>3692000</c:v>
                </c:pt>
                <c:pt idx="3">
                  <c:v>-3246000</c:v>
                </c:pt>
                <c:pt idx="4">
                  <c:v>11947000</c:v>
                </c:pt>
                <c:pt idx="5">
                  <c:v>2417000</c:v>
                </c:pt>
                <c:pt idx="6">
                  <c:v>18258000</c:v>
                </c:pt>
                <c:pt idx="7">
                  <c:v>-24397000</c:v>
                </c:pt>
                <c:pt idx="8">
                  <c:v>-16917000</c:v>
                </c:pt>
                <c:pt idx="9">
                  <c:v>-8395000</c:v>
                </c:pt>
                <c:pt idx="10">
                  <c:v>8582000</c:v>
                </c:pt>
                <c:pt idx="11">
                  <c:v>-34029000</c:v>
                </c:pt>
                <c:pt idx="12">
                  <c:v>-79736000</c:v>
                </c:pt>
                <c:pt idx="13">
                  <c:v>73401000</c:v>
                </c:pt>
                <c:pt idx="14">
                  <c:v>-125553000</c:v>
                </c:pt>
                <c:pt idx="15">
                  <c:v>59523000</c:v>
                </c:pt>
                <c:pt idx="16">
                  <c:v>237705000</c:v>
                </c:pt>
                <c:pt idx="17">
                  <c:v>-74672000</c:v>
                </c:pt>
                <c:pt idx="18">
                  <c:v>64939000</c:v>
                </c:pt>
                <c:pt idx="19">
                  <c:v>284148000</c:v>
                </c:pt>
                <c:pt idx="20">
                  <c:v>-485983000</c:v>
                </c:pt>
              </c:numCache>
            </c:numRef>
          </c:val>
          <c:extLst>
            <c:ext xmlns:c16="http://schemas.microsoft.com/office/drawing/2014/chart" uri="{C3380CC4-5D6E-409C-BE32-E72D297353CC}">
              <c16:uniqueId val="{00000002-94E0-4649-AB54-DE2B48B99FFA}"/>
            </c:ext>
          </c:extLst>
        </c:ser>
        <c:dLbls>
          <c:showLegendKey val="0"/>
          <c:showVal val="0"/>
          <c:showCatName val="0"/>
          <c:showSerName val="0"/>
          <c:showPercent val="0"/>
          <c:showBubbleSize val="0"/>
        </c:dLbls>
        <c:gapWidth val="100"/>
        <c:overlap val="-24"/>
        <c:axId val="934141536"/>
        <c:axId val="933287056"/>
      </c:barChart>
      <c:catAx>
        <c:axId val="93414153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933287056"/>
        <c:crosses val="autoZero"/>
        <c:auto val="1"/>
        <c:lblAlgn val="ctr"/>
        <c:lblOffset val="100"/>
        <c:noMultiLvlLbl val="0"/>
      </c:catAx>
      <c:valAx>
        <c:axId val="93328705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34141536"/>
        <c:crosses val="autoZero"/>
        <c:crossBetween val="between"/>
      </c:valAx>
      <c:spPr>
        <a:noFill/>
        <a:ln>
          <a:noFill/>
        </a:ln>
        <a:effectLst/>
      </c:spPr>
    </c:plotArea>
    <c:legend>
      <c:legendPos val="b"/>
      <c:layout>
        <c:manualLayout>
          <c:xMode val="edge"/>
          <c:yMode val="edge"/>
          <c:x val="0.35789017956913799"/>
          <c:y val="0.90323040265128152"/>
          <c:w val="0.31326254515215302"/>
          <c:h val="6.297543452229761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15875</xdr:colOff>
      <xdr:row>108</xdr:row>
      <xdr:rowOff>25400</xdr:rowOff>
    </xdr:from>
    <xdr:to>
      <xdr:col>30</xdr:col>
      <xdr:colOff>15875</xdr:colOff>
      <xdr:row>125</xdr:row>
      <xdr:rowOff>190500</xdr:rowOff>
    </xdr:to>
    <xdr:graphicFrame macro="">
      <xdr:nvGraphicFramePr>
        <xdr:cNvPr id="3" name="Chart 2">
          <a:extLst>
            <a:ext uri="{FF2B5EF4-FFF2-40B4-BE49-F238E27FC236}">
              <a16:creationId xmlns:a16="http://schemas.microsoft.com/office/drawing/2014/main" id="{CD672D3A-4718-24D4-3849-6BB4B3C2C0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extLst>
        <x:ext xmlns:xlrvr="http://schemas.microsoft.com/office/spreadsheetml/2020/richvaluerefresh" uri="{6D21E516-79A1-49C6-A8DF-7D825B72F6C7}">
          <xlrvr:refreshIntervals>
            <xlrvr:refreshInterval resourceIdInt="268435456" interval="-1"/>
          </xlrvr:refreshIntervals>
        </x:ext>
      </extLst>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https://www.bing.com/financeapi/forcetrigger?t=a234r7&amp;q=XNAS%3aSMCI&amp;form=skydnc</v>
    <v>Learn more on Bing</v>
  </rv>
  <rv s="1">
    <v>0</v>
    <v>SUPER MICRO COMPUTER, INC. (XNAS:SMCI)</v>
    <v>2</v>
    <v>3</v>
    <v>Finance</v>
    <v>4</v>
    <v>en-US</v>
    <v>a234r7</v>
    <v>268435456</v>
    <v>1</v>
    <v>Powered by Refinitiv</v>
    <v>329.07</v>
    <v>50.26</v>
    <v>1.2151000000000001</v>
    <v>11.98</v>
    <v>3.8724000000000001E-2</v>
    <v>-1.35</v>
    <v>-4.2009999999999999E-3</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4607</v>
    <v>Nasdaq Stock Market</v>
    <v>XNAS</v>
    <v>XNAS</v>
    <v>980 Rock Ave, SAN JOSE, CA, 95131-1615 US</v>
    <v>323.99</v>
    <v>Computers, Phones &amp; Household Electronics</v>
    <v>Stock</v>
    <v>45132.975304189065</v>
    <v>0</v>
    <v>309.16000000000003</v>
    <v>16238370000</v>
    <v>SUPER MICRO COMPUTER, INC.</v>
    <v>SUPER MICRO COMPUTER, INC.</v>
    <v>309.16000000000003</v>
    <v>29.153300000000002</v>
    <v>309.37</v>
    <v>321.35000000000002</v>
    <v>320</v>
    <v>52488490</v>
    <v>SMCI</v>
    <v>SUPER MICRO COMPUTER, INC. (XNAS:SMCI)</v>
    <v>2350468</v>
    <v>2943686</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75365/000119312507190775/0001193125-07-190775-index.html" TargetMode="External"/><Relationship Id="rId18" Type="http://schemas.openxmlformats.org/officeDocument/2006/relationships/hyperlink" Target="https://www.sec.gov/Archives/edgar/data/1375365/000119312510205667/0001193125-10-205667-index.html" TargetMode="External"/><Relationship Id="rId26" Type="http://schemas.openxmlformats.org/officeDocument/2006/relationships/hyperlink" Target="https://www.sec.gov/Archives/edgar/data/1375365/000144530514003958/0001445305-14-003958-index.html" TargetMode="External"/><Relationship Id="rId39" Type="http://schemas.openxmlformats.org/officeDocument/2006/relationships/hyperlink" Target="https://www.sec.gov/Archives/edgar/data/1375365/000137536520000064/0001375365-20-000064-index.htm" TargetMode="External"/><Relationship Id="rId21" Type="http://schemas.openxmlformats.org/officeDocument/2006/relationships/hyperlink" Target="https://www.sec.gov/Archives/edgar/data/1375365/000119312511240215/0001193125-11-240215-index.html" TargetMode="External"/><Relationship Id="rId34" Type="http://schemas.openxmlformats.org/officeDocument/2006/relationships/hyperlink" Target="https://sec.gov/" TargetMode="External"/><Relationship Id="rId42" Type="http://schemas.openxmlformats.org/officeDocument/2006/relationships/hyperlink" Target="https://www.sec.gov/Archives/edgar/data/1375365/000137536522000103/0001375365-22-000103-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75365/000119312509184698/0001193125-09-184698-index.html" TargetMode="External"/><Relationship Id="rId29" Type="http://schemas.openxmlformats.org/officeDocument/2006/relationships/hyperlink" Target="https://www.sec.gov/Archives/edgar/data/1375365/000162828015007025/0001628280-15-007025-index.html" TargetMode="External"/><Relationship Id="rId1" Type="http://schemas.openxmlformats.org/officeDocument/2006/relationships/hyperlink" Target="https://roic.ai/company/SMCI"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75365/000144530513002262/0001445305-13-002262-index.html" TargetMode="External"/><Relationship Id="rId32" Type="http://schemas.openxmlformats.org/officeDocument/2006/relationships/hyperlink" Target="https://www.sec.gov/Archives/edgar/data/1375365/000137536519000039/smci-2017630x10kxa.htm" TargetMode="External"/><Relationship Id="rId37" Type="http://schemas.openxmlformats.org/officeDocument/2006/relationships/hyperlink" Target="https://www.sec.gov/Archives/edgar/data/1375365/000137536519000079/smci-2019630x10k.htm" TargetMode="External"/><Relationship Id="rId40" Type="http://schemas.openxmlformats.org/officeDocument/2006/relationships/hyperlink" Target="https://www.sec.gov/Archives/edgar/data/1375365/000137536521000060/0001375365-21-000060-index.htm" TargetMode="External"/><Relationship Id="rId45" Type="http://schemas.openxmlformats.org/officeDocument/2006/relationships/hyperlink" Target="https://finbox.com/NASDAQGS:SMCI/explorer/fcf_unlev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75365/000119312508188476/0001193125-08-188476-index.html" TargetMode="External"/><Relationship Id="rId23" Type="http://schemas.openxmlformats.org/officeDocument/2006/relationships/hyperlink" Target="https://www.sec.gov/Archives/edgar/data/1375365/000144530512002860/0001445305-12-002860-index.html" TargetMode="External"/><Relationship Id="rId28" Type="http://schemas.openxmlformats.org/officeDocument/2006/relationships/hyperlink" Target="https://www.sec.gov/Archives/edgar/data/1375365/000162828015007025/0001628280-15-007025-index.html" TargetMode="External"/><Relationship Id="rId36" Type="http://schemas.openxmlformats.org/officeDocument/2006/relationships/hyperlink" Target="https://www.sec.gov/Archives/edgar/data/1375365/000137536519000079/smci-2019630x10k.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375365/000119312510205667/0001193125-10-205667-index.html" TargetMode="External"/><Relationship Id="rId31" Type="http://schemas.openxmlformats.org/officeDocument/2006/relationships/hyperlink" Target="https://www.sec.gov/Archives/edgar/data/1375365/000162828016019274/smci-2016630x10k.htm" TargetMode="External"/><Relationship Id="rId44" Type="http://schemas.openxmlformats.org/officeDocument/2006/relationships/hyperlink" Target="https://finbox.com/NASDAQGS:SMCI/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75365/000119312508188476/0001193125-08-188476-index.html" TargetMode="External"/><Relationship Id="rId22" Type="http://schemas.openxmlformats.org/officeDocument/2006/relationships/hyperlink" Target="https://www.sec.gov/Archives/edgar/data/1375365/000144530512002860/0001445305-12-002860-index.html" TargetMode="External"/><Relationship Id="rId27" Type="http://schemas.openxmlformats.org/officeDocument/2006/relationships/hyperlink" Target="https://www.sec.gov/Archives/edgar/data/1375365/000144530514003958/0001445305-14-003958-index.html" TargetMode="External"/><Relationship Id="rId30" Type="http://schemas.openxmlformats.org/officeDocument/2006/relationships/hyperlink" Target="https://www.sec.gov/Archives/edgar/data/1375365/000162828016019274/smci-2016630x10k.htm"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1375365/000137536522000103/0001375365-22-000103-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375365/000119312507190775/0001193125-07-190775-index.html" TargetMode="External"/><Relationship Id="rId17" Type="http://schemas.openxmlformats.org/officeDocument/2006/relationships/hyperlink" Target="https://www.sec.gov/Archives/edgar/data/1375365/000119312509184698/0001193125-09-184698-index.html" TargetMode="External"/><Relationship Id="rId25" Type="http://schemas.openxmlformats.org/officeDocument/2006/relationships/hyperlink" Target="https://www.sec.gov/Archives/edgar/data/1375365/000144530513002262/0001445305-13-002262-index.html" TargetMode="External"/><Relationship Id="rId33" Type="http://schemas.openxmlformats.org/officeDocument/2006/relationships/hyperlink" Target="https://www.sec.gov/Archives/edgar/data/1375365/000137536519000039/smci-2017630x10kxa.htm" TargetMode="External"/><Relationship Id="rId38" Type="http://schemas.openxmlformats.org/officeDocument/2006/relationships/hyperlink" Target="https://www.sec.gov/Archives/edgar/data/1375365/000137536520000064/0001375365-20-000064-index.htm" TargetMode="External"/><Relationship Id="rId46" Type="http://schemas.openxmlformats.org/officeDocument/2006/relationships/drawing" Target="../drawings/drawing1.xml"/><Relationship Id="rId20" Type="http://schemas.openxmlformats.org/officeDocument/2006/relationships/hyperlink" Target="https://www.sec.gov/Archives/edgar/data/1375365/000119312511240215/0001193125-11-240215-index.html" TargetMode="External"/><Relationship Id="rId41" Type="http://schemas.openxmlformats.org/officeDocument/2006/relationships/hyperlink" Target="https://www.sec.gov/Archives/edgar/data/1375365/000137536521000060/0001375365-21-00006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8"/>
  <sheetViews>
    <sheetView tabSelected="1" zoomScale="80" zoomScaleNormal="80" workbookViewId="0">
      <pane xSplit="1" ySplit="1" topLeftCell="S84" activePane="bottomRight" state="frozen"/>
      <selection pane="topRight"/>
      <selection pane="bottomLeft"/>
      <selection pane="bottomRight" activeCell="X97" sqref="X97"/>
    </sheetView>
  </sheetViews>
  <sheetFormatPr baseColWidth="10" defaultRowHeight="16" x14ac:dyDescent="0.2"/>
  <cols>
    <col min="1" max="1" width="50" customWidth="1"/>
    <col min="2" max="22" width="15" customWidth="1"/>
    <col min="23" max="31" width="21" customWidth="1"/>
  </cols>
  <sheetData>
    <row r="1" spans="1:31" ht="22" thickBot="1" x14ac:dyDescent="0.3">
      <c r="A1" s="3" t="e" vm="1">
        <v>#VALUE!</v>
      </c>
      <c r="B1" s="8">
        <v>2002</v>
      </c>
      <c r="C1" s="8">
        <v>2003</v>
      </c>
      <c r="D1" s="8">
        <v>2004</v>
      </c>
      <c r="E1" s="8">
        <v>2005</v>
      </c>
      <c r="F1" s="8">
        <v>2006</v>
      </c>
      <c r="G1" s="8">
        <v>2007</v>
      </c>
      <c r="H1" s="8">
        <v>2008</v>
      </c>
      <c r="I1" s="8">
        <v>2009</v>
      </c>
      <c r="J1" s="8">
        <v>2010</v>
      </c>
      <c r="K1" s="8">
        <v>2011</v>
      </c>
      <c r="L1" s="8">
        <v>2012</v>
      </c>
      <c r="M1" s="8">
        <v>2013</v>
      </c>
      <c r="N1" s="8">
        <v>2014</v>
      </c>
      <c r="O1" s="8">
        <v>2015</v>
      </c>
      <c r="P1" s="8">
        <v>2016</v>
      </c>
      <c r="Q1" s="8">
        <v>2017</v>
      </c>
      <c r="R1" s="8">
        <v>2018</v>
      </c>
      <c r="S1" s="8">
        <v>2019</v>
      </c>
      <c r="T1" s="8">
        <v>2020</v>
      </c>
      <c r="U1" s="8">
        <v>2021</v>
      </c>
      <c r="V1" s="8">
        <v>2022</v>
      </c>
      <c r="W1" s="23">
        <v>2023</v>
      </c>
      <c r="X1" s="23">
        <v>2024</v>
      </c>
      <c r="Y1" s="23">
        <v>2025</v>
      </c>
      <c r="Z1" s="23">
        <v>2026</v>
      </c>
      <c r="AA1" s="23">
        <v>2027</v>
      </c>
    </row>
    <row r="2" spans="1:31"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c r="AA2" s="9"/>
      <c r="AB2" s="9"/>
      <c r="AC2" s="9"/>
      <c r="AD2" s="9"/>
      <c r="AE2" s="9"/>
    </row>
    <row r="3" spans="1:31" ht="40" x14ac:dyDescent="0.25">
      <c r="A3" s="5" t="s">
        <v>1</v>
      </c>
      <c r="B3" s="1">
        <v>89339000</v>
      </c>
      <c r="C3" s="1">
        <v>137161000</v>
      </c>
      <c r="D3" s="1">
        <v>167065000</v>
      </c>
      <c r="E3" s="1">
        <v>211763000</v>
      </c>
      <c r="F3" s="1">
        <v>302541000</v>
      </c>
      <c r="G3" s="1">
        <v>420393000</v>
      </c>
      <c r="H3" s="1">
        <v>540503000</v>
      </c>
      <c r="I3" s="1">
        <v>505609000</v>
      </c>
      <c r="J3" s="1">
        <v>721438000</v>
      </c>
      <c r="K3" s="1">
        <v>942582000</v>
      </c>
      <c r="L3" s="1">
        <v>1013874000</v>
      </c>
      <c r="M3" s="1">
        <v>1162561000</v>
      </c>
      <c r="N3" s="1">
        <v>1467202000</v>
      </c>
      <c r="O3" s="1">
        <v>1991155000</v>
      </c>
      <c r="P3" s="1">
        <v>2215573000</v>
      </c>
      <c r="Q3" s="1">
        <v>2484929000</v>
      </c>
      <c r="R3" s="1">
        <v>3360492000</v>
      </c>
      <c r="S3" s="1">
        <v>3500360000</v>
      </c>
      <c r="T3" s="1">
        <v>3339281000</v>
      </c>
      <c r="U3" s="1">
        <v>3557422000</v>
      </c>
      <c r="V3" s="1">
        <v>5196099000</v>
      </c>
      <c r="W3" s="24">
        <v>6740000000</v>
      </c>
      <c r="X3" s="24">
        <v>8060000000</v>
      </c>
      <c r="Y3" s="24">
        <v>9500000000</v>
      </c>
      <c r="Z3" s="24">
        <v>10500000000</v>
      </c>
      <c r="AA3" s="24">
        <v>11200000000</v>
      </c>
      <c r="AB3" s="18" t="s">
        <v>107</v>
      </c>
      <c r="AC3" s="19" t="s">
        <v>108</v>
      </c>
      <c r="AD3" s="19" t="s">
        <v>109</v>
      </c>
      <c r="AE3" s="19" t="s">
        <v>110</v>
      </c>
    </row>
    <row r="4" spans="1:31" ht="19" x14ac:dyDescent="0.25">
      <c r="A4" s="14" t="s">
        <v>93</v>
      </c>
      <c r="B4" s="1"/>
      <c r="C4" s="15">
        <f>(C3/B3)-1</f>
        <v>0.53528694075375816</v>
      </c>
      <c r="D4" s="15">
        <f>(D3/C3)-1</f>
        <v>0.21802115761769025</v>
      </c>
      <c r="E4" s="15">
        <f>(E3/D3)-1</f>
        <v>0.26754855894412355</v>
      </c>
      <c r="F4" s="15">
        <f t="shared" ref="F4:V4" si="0">(F3/E3)-1</f>
        <v>0.42867734212303388</v>
      </c>
      <c r="G4" s="15">
        <f t="shared" si="0"/>
        <v>0.38954059119259865</v>
      </c>
      <c r="H4" s="15">
        <f t="shared" si="0"/>
        <v>0.28570884862497703</v>
      </c>
      <c r="I4" s="15">
        <f t="shared" si="0"/>
        <v>-6.4558383579739642E-2</v>
      </c>
      <c r="J4" s="15">
        <f t="shared" si="0"/>
        <v>0.42686937930297919</v>
      </c>
      <c r="K4" s="15">
        <f t="shared" si="0"/>
        <v>0.30653223145994524</v>
      </c>
      <c r="L4" s="15">
        <f t="shared" si="0"/>
        <v>7.5634798882219245E-2</v>
      </c>
      <c r="M4" s="15">
        <f t="shared" si="0"/>
        <v>0.14665234536046889</v>
      </c>
      <c r="N4" s="15">
        <f t="shared" si="0"/>
        <v>0.26204302397895685</v>
      </c>
      <c r="O4" s="15">
        <f t="shared" si="0"/>
        <v>0.35711033654534274</v>
      </c>
      <c r="P4" s="15">
        <f t="shared" si="0"/>
        <v>0.11270744869183957</v>
      </c>
      <c r="Q4" s="15">
        <f t="shared" si="0"/>
        <v>0.12157396754699579</v>
      </c>
      <c r="R4" s="15">
        <f t="shared" si="0"/>
        <v>0.35234930253540453</v>
      </c>
      <c r="S4" s="15">
        <f t="shared" si="0"/>
        <v>4.1621286406871461E-2</v>
      </c>
      <c r="T4" s="15">
        <f t="shared" si="0"/>
        <v>-4.6017838165217317E-2</v>
      </c>
      <c r="U4" s="15">
        <f t="shared" si="0"/>
        <v>6.5325739283396578E-2</v>
      </c>
      <c r="V4" s="15">
        <f t="shared" si="0"/>
        <v>0.46063610108668573</v>
      </c>
      <c r="W4" s="16">
        <f t="shared" ref="W4:AA4" si="1">(W3/V3)-1</f>
        <v>0.29712694080693991</v>
      </c>
      <c r="X4" s="16">
        <f t="shared" si="1"/>
        <v>0.19584569732937696</v>
      </c>
      <c r="Y4" s="16">
        <f t="shared" si="1"/>
        <v>0.17866004962779147</v>
      </c>
      <c r="Z4" s="16">
        <f t="shared" si="1"/>
        <v>0.10526315789473695</v>
      </c>
      <c r="AA4" s="16">
        <f t="shared" si="1"/>
        <v>6.6666666666666652E-2</v>
      </c>
      <c r="AB4" s="17">
        <f>(V4+U4+T4)/3</f>
        <v>0.15998133406828832</v>
      </c>
      <c r="AC4" s="17">
        <f>(V20+U20+T20)/3</f>
        <v>0.5970519035230929</v>
      </c>
      <c r="AD4" s="17">
        <f>(V29+U29+T29)/3</f>
        <v>0.68277048318359268</v>
      </c>
      <c r="AE4" s="17">
        <f>(V106+U106+T106)/3</f>
        <v>-0.40145301622836621</v>
      </c>
    </row>
    <row r="5" spans="1:31" ht="19" x14ac:dyDescent="0.25">
      <c r="A5" s="5" t="s">
        <v>2</v>
      </c>
      <c r="B5" s="1">
        <v>75354000</v>
      </c>
      <c r="C5" s="1">
        <v>113853000</v>
      </c>
      <c r="D5" s="1" t="s">
        <v>91</v>
      </c>
      <c r="E5" s="1">
        <v>178293000</v>
      </c>
      <c r="F5" s="1">
        <v>242235000</v>
      </c>
      <c r="G5" s="1">
        <v>345384000</v>
      </c>
      <c r="H5" s="1">
        <v>436950000</v>
      </c>
      <c r="I5" s="1">
        <v>416899000</v>
      </c>
      <c r="J5" s="1">
        <v>606446000</v>
      </c>
      <c r="K5" s="1">
        <v>791478000</v>
      </c>
      <c r="L5" s="1">
        <v>848457000</v>
      </c>
      <c r="M5" s="1">
        <v>1002508000</v>
      </c>
      <c r="N5" s="1">
        <v>1241657000</v>
      </c>
      <c r="O5" s="1">
        <v>1670924000</v>
      </c>
      <c r="P5" s="1">
        <v>1884048000</v>
      </c>
      <c r="Q5" s="1">
        <v>2134971000</v>
      </c>
      <c r="R5" s="1">
        <v>2930498000</v>
      </c>
      <c r="S5" s="1">
        <v>3004838000</v>
      </c>
      <c r="T5" s="1">
        <v>2813071000</v>
      </c>
      <c r="U5" s="1">
        <v>3022884000</v>
      </c>
      <c r="V5" s="1">
        <v>4396098000</v>
      </c>
    </row>
    <row r="6" spans="1:31" ht="20" x14ac:dyDescent="0.25">
      <c r="A6" s="6" t="s">
        <v>3</v>
      </c>
      <c r="B6" s="10">
        <v>13985000</v>
      </c>
      <c r="C6" s="10">
        <v>23308000</v>
      </c>
      <c r="D6" s="10" t="s">
        <v>91</v>
      </c>
      <c r="E6" s="10">
        <v>33470000</v>
      </c>
      <c r="F6" s="10">
        <v>60306000</v>
      </c>
      <c r="G6" s="10">
        <v>75009000</v>
      </c>
      <c r="H6" s="10">
        <v>103553000</v>
      </c>
      <c r="I6" s="10">
        <v>88710000</v>
      </c>
      <c r="J6" s="10">
        <v>114992000</v>
      </c>
      <c r="K6" s="10">
        <v>151104000</v>
      </c>
      <c r="L6" s="10">
        <v>165417000</v>
      </c>
      <c r="M6" s="10">
        <v>160053000</v>
      </c>
      <c r="N6" s="10">
        <v>225545000</v>
      </c>
      <c r="O6" s="10">
        <v>320231000</v>
      </c>
      <c r="P6" s="10">
        <v>331525000</v>
      </c>
      <c r="Q6" s="10">
        <v>349958000</v>
      </c>
      <c r="R6" s="10">
        <v>429994000</v>
      </c>
      <c r="S6" s="10">
        <v>495522000</v>
      </c>
      <c r="T6" s="10">
        <v>526210000</v>
      </c>
      <c r="U6" s="10">
        <v>534538000</v>
      </c>
      <c r="V6" s="10">
        <v>800001000</v>
      </c>
      <c r="AB6" s="18" t="s">
        <v>111</v>
      </c>
      <c r="AC6" s="19" t="s">
        <v>112</v>
      </c>
      <c r="AD6" s="19" t="s">
        <v>113</v>
      </c>
      <c r="AE6" s="19" t="s">
        <v>114</v>
      </c>
    </row>
    <row r="7" spans="1:31" ht="19" x14ac:dyDescent="0.25">
      <c r="A7" s="5" t="s">
        <v>4</v>
      </c>
      <c r="B7" s="2">
        <v>0.1565</v>
      </c>
      <c r="C7" s="2">
        <v>0.1699</v>
      </c>
      <c r="D7" s="2" t="s">
        <v>91</v>
      </c>
      <c r="E7" s="2">
        <v>0.15809999999999999</v>
      </c>
      <c r="F7" s="2">
        <v>0.1993</v>
      </c>
      <c r="G7" s="2">
        <v>0.1784</v>
      </c>
      <c r="H7" s="2">
        <v>0.19159999999999999</v>
      </c>
      <c r="I7" s="2">
        <v>0.17549999999999999</v>
      </c>
      <c r="J7" s="2">
        <v>0.15939999999999999</v>
      </c>
      <c r="K7" s="2">
        <v>0.1603</v>
      </c>
      <c r="L7" s="2">
        <v>0.16320000000000001</v>
      </c>
      <c r="M7" s="2">
        <v>0.13769999999999999</v>
      </c>
      <c r="N7" s="2">
        <v>0.1537</v>
      </c>
      <c r="O7" s="2">
        <v>0.1608</v>
      </c>
      <c r="P7" s="2">
        <v>0.14960000000000001</v>
      </c>
      <c r="Q7" s="2">
        <v>0.14080000000000001</v>
      </c>
      <c r="R7" s="2">
        <v>0.128</v>
      </c>
      <c r="S7" s="2">
        <v>0.1416</v>
      </c>
      <c r="T7" s="2">
        <v>0.15759999999999999</v>
      </c>
      <c r="U7" s="2">
        <v>0.15029999999999999</v>
      </c>
      <c r="V7" s="2">
        <v>0.154</v>
      </c>
      <c r="AB7" s="17">
        <f>V7</f>
        <v>0.154</v>
      </c>
      <c r="AC7" s="20">
        <f>V21</f>
        <v>7.2499999999999995E-2</v>
      </c>
      <c r="AD7" s="20">
        <f>V30</f>
        <v>5.4899999999999997E-2</v>
      </c>
      <c r="AE7" s="20">
        <f>V107/V3</f>
        <v>-9.3528433542163072E-2</v>
      </c>
    </row>
    <row r="8" spans="1:31" ht="19" x14ac:dyDescent="0.25">
      <c r="A8" s="5" t="s">
        <v>5</v>
      </c>
      <c r="B8" s="1">
        <v>3635000</v>
      </c>
      <c r="C8" s="1">
        <v>6858000</v>
      </c>
      <c r="D8" s="1" t="s">
        <v>91</v>
      </c>
      <c r="E8" s="1">
        <v>10609000</v>
      </c>
      <c r="F8" s="1">
        <v>15814000</v>
      </c>
      <c r="G8" s="1">
        <v>21171000</v>
      </c>
      <c r="H8" s="1">
        <v>30537000</v>
      </c>
      <c r="I8" s="1">
        <v>34514000</v>
      </c>
      <c r="J8" s="1">
        <v>37382000</v>
      </c>
      <c r="K8" s="1">
        <v>48108000</v>
      </c>
      <c r="L8" s="1">
        <v>64223000</v>
      </c>
      <c r="M8" s="1">
        <v>75208000</v>
      </c>
      <c r="N8" s="1">
        <v>84257000</v>
      </c>
      <c r="O8" s="1">
        <v>100257000</v>
      </c>
      <c r="P8" s="1">
        <v>123994000</v>
      </c>
      <c r="Q8" s="1">
        <v>143992000</v>
      </c>
      <c r="R8" s="1">
        <v>165104000</v>
      </c>
      <c r="S8" s="1">
        <v>179907000</v>
      </c>
      <c r="T8" s="1">
        <v>221478000</v>
      </c>
      <c r="U8" s="1">
        <v>224369000</v>
      </c>
      <c r="V8" s="1">
        <v>272273000</v>
      </c>
    </row>
    <row r="9" spans="1:31" ht="19" customHeight="1" x14ac:dyDescent="0.25">
      <c r="A9" s="14" t="s">
        <v>94</v>
      </c>
      <c r="B9" s="15">
        <f>B8/B3</f>
        <v>4.068771757015413E-2</v>
      </c>
      <c r="C9" s="15">
        <f t="shared" ref="C9:V9" si="2">C8/C3</f>
        <v>4.9999635464891626E-2</v>
      </c>
      <c r="D9" s="15" t="e">
        <f t="shared" si="2"/>
        <v>#VALUE!</v>
      </c>
      <c r="E9" s="15">
        <f t="shared" si="2"/>
        <v>5.00984591264763E-2</v>
      </c>
      <c r="F9" s="15">
        <f t="shared" si="2"/>
        <v>5.2270601339983673E-2</v>
      </c>
      <c r="G9" s="15">
        <f t="shared" si="2"/>
        <v>5.0360020266750398E-2</v>
      </c>
      <c r="H9" s="15">
        <f t="shared" si="2"/>
        <v>5.6497373742606424E-2</v>
      </c>
      <c r="I9" s="15">
        <f t="shared" si="2"/>
        <v>6.8262234256114898E-2</v>
      </c>
      <c r="J9" s="15">
        <f t="shared" si="2"/>
        <v>5.1815956464727392E-2</v>
      </c>
      <c r="K9" s="15">
        <f t="shared" si="2"/>
        <v>5.1038530334761328E-2</v>
      </c>
      <c r="L9" s="15">
        <f t="shared" si="2"/>
        <v>6.3344163081408542E-2</v>
      </c>
      <c r="M9" s="15">
        <f t="shared" si="2"/>
        <v>6.4691659190356465E-2</v>
      </c>
      <c r="N9" s="15">
        <f t="shared" si="2"/>
        <v>5.7426993692756688E-2</v>
      </c>
      <c r="O9" s="15">
        <f t="shared" si="2"/>
        <v>5.0351178085081272E-2</v>
      </c>
      <c r="P9" s="15">
        <f t="shared" si="2"/>
        <v>5.5964754941498204E-2</v>
      </c>
      <c r="Q9" s="15">
        <f t="shared" si="2"/>
        <v>5.7946122404302094E-2</v>
      </c>
      <c r="R9" s="15">
        <f t="shared" si="2"/>
        <v>4.9130901070438493E-2</v>
      </c>
      <c r="S9" s="15">
        <f t="shared" si="2"/>
        <v>5.1396713480899109E-2</v>
      </c>
      <c r="T9" s="15">
        <f t="shared" si="2"/>
        <v>6.6325056202218388E-2</v>
      </c>
      <c r="U9" s="15">
        <f t="shared" si="2"/>
        <v>6.3070673088545581E-2</v>
      </c>
      <c r="V9" s="15">
        <f t="shared" si="2"/>
        <v>5.2399502011027888E-2</v>
      </c>
      <c r="AB9" s="18" t="s">
        <v>95</v>
      </c>
      <c r="AC9" s="19" t="s">
        <v>96</v>
      </c>
      <c r="AD9" s="19" t="s">
        <v>97</v>
      </c>
      <c r="AE9" s="19" t="s">
        <v>98</v>
      </c>
    </row>
    <row r="10" spans="1:31" ht="19" x14ac:dyDescent="0.25">
      <c r="A10" s="5" t="s">
        <v>6</v>
      </c>
      <c r="B10" s="1" t="s">
        <v>91</v>
      </c>
      <c r="C10" s="1" t="s">
        <v>91</v>
      </c>
      <c r="D10" s="1" t="s">
        <v>91</v>
      </c>
      <c r="E10" s="1" t="s">
        <v>91</v>
      </c>
      <c r="F10" s="1" t="s">
        <v>91</v>
      </c>
      <c r="G10" s="1">
        <v>24053000</v>
      </c>
      <c r="H10" s="1">
        <v>32745000</v>
      </c>
      <c r="I10" s="1">
        <v>13824000</v>
      </c>
      <c r="J10" s="1">
        <v>16407000</v>
      </c>
      <c r="K10" s="1">
        <v>17444000</v>
      </c>
      <c r="L10" s="1">
        <v>21872000</v>
      </c>
      <c r="M10" s="1">
        <v>23902000</v>
      </c>
      <c r="N10" s="1">
        <v>23017000</v>
      </c>
      <c r="O10" s="1">
        <v>24377000</v>
      </c>
      <c r="P10" s="1">
        <v>37840000</v>
      </c>
      <c r="Q10" s="1">
        <v>44646000</v>
      </c>
      <c r="R10" s="1">
        <v>98597000</v>
      </c>
      <c r="S10" s="1">
        <v>141228000</v>
      </c>
      <c r="T10" s="1">
        <v>133941000</v>
      </c>
      <c r="U10" s="1">
        <v>100539000</v>
      </c>
      <c r="V10" s="1">
        <v>102435000</v>
      </c>
      <c r="AB10" s="17">
        <f>V9</f>
        <v>5.2399502011027888E-2</v>
      </c>
      <c r="AC10" s="20">
        <f>V13</f>
        <v>3.7058762737199581E-2</v>
      </c>
      <c r="AD10" s="20">
        <f>V80</f>
        <v>6.3155070755965192E-3</v>
      </c>
      <c r="AE10" s="20">
        <f>V89</f>
        <v>8.6953693530473532E-3</v>
      </c>
    </row>
    <row r="11" spans="1:31" ht="19" x14ac:dyDescent="0.25">
      <c r="A11" s="5" t="s">
        <v>7</v>
      </c>
      <c r="B11" s="1" t="s">
        <v>91</v>
      </c>
      <c r="C11" s="1" t="s">
        <v>91</v>
      </c>
      <c r="D11" s="1" t="s">
        <v>91</v>
      </c>
      <c r="E11" s="1" t="s">
        <v>91</v>
      </c>
      <c r="F11" s="1" t="s">
        <v>91</v>
      </c>
      <c r="G11" s="1" t="s">
        <v>91</v>
      </c>
      <c r="H11" s="1" t="s">
        <v>91</v>
      </c>
      <c r="I11" s="1">
        <v>17119000</v>
      </c>
      <c r="J11" s="1">
        <v>20458000</v>
      </c>
      <c r="K11" s="1">
        <v>26859000</v>
      </c>
      <c r="L11" s="1">
        <v>33308000</v>
      </c>
      <c r="M11" s="1">
        <v>33785000</v>
      </c>
      <c r="N11" s="1">
        <v>38012000</v>
      </c>
      <c r="O11" s="1">
        <v>48851000</v>
      </c>
      <c r="P11" s="1">
        <v>62841000</v>
      </c>
      <c r="Q11" s="1">
        <v>66445000</v>
      </c>
      <c r="R11" s="1">
        <v>71579000</v>
      </c>
      <c r="S11" s="1">
        <v>77154000</v>
      </c>
      <c r="T11" s="1">
        <v>85137000</v>
      </c>
      <c r="U11" s="1">
        <v>85683000</v>
      </c>
      <c r="V11" s="1">
        <v>90126000</v>
      </c>
    </row>
    <row r="12" spans="1:31" ht="20" x14ac:dyDescent="0.25">
      <c r="A12" s="5" t="s">
        <v>8</v>
      </c>
      <c r="B12" s="1">
        <v>7321000</v>
      </c>
      <c r="C12" s="1">
        <v>9222000</v>
      </c>
      <c r="D12" s="1" t="s">
        <v>91</v>
      </c>
      <c r="E12" s="1">
        <v>12577000</v>
      </c>
      <c r="F12" s="1">
        <v>16294000</v>
      </c>
      <c r="G12" s="1">
        <v>24053000</v>
      </c>
      <c r="H12" s="1">
        <v>32745000</v>
      </c>
      <c r="I12" s="1">
        <v>30943000</v>
      </c>
      <c r="J12" s="1">
        <v>36865000</v>
      </c>
      <c r="K12" s="1">
        <v>44303000</v>
      </c>
      <c r="L12" s="1">
        <v>55180000</v>
      </c>
      <c r="M12" s="1">
        <v>57687000</v>
      </c>
      <c r="N12" s="1">
        <v>61029000</v>
      </c>
      <c r="O12" s="1">
        <v>73228000</v>
      </c>
      <c r="P12" s="1">
        <v>100681000</v>
      </c>
      <c r="Q12" s="1">
        <v>111091000</v>
      </c>
      <c r="R12" s="1">
        <v>170176000</v>
      </c>
      <c r="S12" s="1">
        <v>218382000</v>
      </c>
      <c r="T12" s="1">
        <v>219078000</v>
      </c>
      <c r="U12" s="1">
        <v>186222000</v>
      </c>
      <c r="V12" s="1">
        <v>192561000</v>
      </c>
      <c r="AB12" s="18" t="s">
        <v>115</v>
      </c>
      <c r="AC12" s="19" t="s">
        <v>116</v>
      </c>
      <c r="AD12" s="19" t="s">
        <v>117</v>
      </c>
      <c r="AE12" s="19" t="s">
        <v>118</v>
      </c>
    </row>
    <row r="13" spans="1:31" ht="19" x14ac:dyDescent="0.25">
      <c r="A13" s="14" t="s">
        <v>99</v>
      </c>
      <c r="B13" s="15">
        <f>B12/B3</f>
        <v>8.1946294451471363E-2</v>
      </c>
      <c r="C13" s="15">
        <f t="shared" ref="C13:V13" si="3">C12/C3</f>
        <v>6.7234855388922501E-2</v>
      </c>
      <c r="D13" s="15" t="e">
        <f t="shared" si="3"/>
        <v>#VALUE!</v>
      </c>
      <c r="E13" s="15">
        <f t="shared" si="3"/>
        <v>5.9391867323375661E-2</v>
      </c>
      <c r="F13" s="15">
        <f t="shared" si="3"/>
        <v>5.3857163161356643E-2</v>
      </c>
      <c r="G13" s="15">
        <f t="shared" si="3"/>
        <v>5.721551024874344E-2</v>
      </c>
      <c r="H13" s="15">
        <f t="shared" si="3"/>
        <v>6.058245745167002E-2</v>
      </c>
      <c r="I13" s="15">
        <f t="shared" si="3"/>
        <v>6.1199464408268046E-2</v>
      </c>
      <c r="J13" s="15">
        <f t="shared" si="3"/>
        <v>5.1099332167143956E-2</v>
      </c>
      <c r="K13" s="15">
        <f t="shared" si="3"/>
        <v>4.7001746267168271E-2</v>
      </c>
      <c r="L13" s="15">
        <f t="shared" si="3"/>
        <v>5.4424908815099315E-2</v>
      </c>
      <c r="M13" s="15">
        <f t="shared" si="3"/>
        <v>4.9620622057681273E-2</v>
      </c>
      <c r="N13" s="15">
        <f t="shared" si="3"/>
        <v>4.15954994608786E-2</v>
      </c>
      <c r="O13" s="15">
        <f t="shared" si="3"/>
        <v>3.6776644711235436E-2</v>
      </c>
      <c r="P13" s="15">
        <f t="shared" si="3"/>
        <v>4.5442420538614615E-2</v>
      </c>
      <c r="Q13" s="15">
        <f t="shared" si="3"/>
        <v>4.4705905078173257E-2</v>
      </c>
      <c r="R13" s="15">
        <f t="shared" si="3"/>
        <v>5.0640203874908793E-2</v>
      </c>
      <c r="S13" s="15">
        <f t="shared" si="3"/>
        <v>6.2388440046166678E-2</v>
      </c>
      <c r="T13" s="15">
        <f t="shared" si="3"/>
        <v>6.5606338610018147E-2</v>
      </c>
      <c r="U13" s="15">
        <f t="shared" si="3"/>
        <v>5.2347458356079207E-2</v>
      </c>
      <c r="V13" s="15">
        <f t="shared" si="3"/>
        <v>3.7058762737199581E-2</v>
      </c>
      <c r="AB13" s="17">
        <f>V28/V72</f>
        <v>0.20003367062413413</v>
      </c>
      <c r="AC13" s="20">
        <f>V28/V54</f>
        <v>8.8972277421104085E-2</v>
      </c>
      <c r="AD13" s="20">
        <f>V22/(V72+V56+V61)</f>
        <v>0.16380460955976109</v>
      </c>
      <c r="AE13" s="21">
        <f>V67/V72</f>
        <v>1.2481489925117935</v>
      </c>
    </row>
    <row r="14" spans="1:31" ht="19" x14ac:dyDescent="0.25">
      <c r="A14" s="5" t="s">
        <v>9</v>
      </c>
      <c r="B14" s="1" t="s">
        <v>91</v>
      </c>
      <c r="C14" s="1">
        <v>1178000</v>
      </c>
      <c r="D14" s="1" t="s">
        <v>91</v>
      </c>
      <c r="E14" s="1">
        <v>-1178000</v>
      </c>
      <c r="F14" s="1">
        <v>575000</v>
      </c>
      <c r="G14" s="1">
        <v>-120000</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row>
    <row r="15" spans="1:31" ht="20" x14ac:dyDescent="0.25">
      <c r="A15" s="5" t="s">
        <v>10</v>
      </c>
      <c r="B15" s="1">
        <v>10956000</v>
      </c>
      <c r="C15" s="1">
        <v>17258000</v>
      </c>
      <c r="D15" s="1" t="s">
        <v>91</v>
      </c>
      <c r="E15" s="1">
        <v>22008000</v>
      </c>
      <c r="F15" s="1">
        <v>32683000</v>
      </c>
      <c r="G15" s="1">
        <v>45104000</v>
      </c>
      <c r="H15" s="1">
        <v>63282000</v>
      </c>
      <c r="I15" s="1">
        <v>65457000</v>
      </c>
      <c r="J15" s="1">
        <v>74247000</v>
      </c>
      <c r="K15" s="1">
        <v>92411000</v>
      </c>
      <c r="L15" s="1">
        <v>119403000</v>
      </c>
      <c r="M15" s="1">
        <v>132895000</v>
      </c>
      <c r="N15" s="1">
        <v>145286000</v>
      </c>
      <c r="O15" s="1">
        <v>173485000</v>
      </c>
      <c r="P15" s="1">
        <v>224675000</v>
      </c>
      <c r="Q15" s="1">
        <v>255083000</v>
      </c>
      <c r="R15" s="1">
        <v>335280000</v>
      </c>
      <c r="S15" s="1">
        <v>398289000</v>
      </c>
      <c r="T15" s="1">
        <v>440556000</v>
      </c>
      <c r="U15" s="1">
        <v>410591000</v>
      </c>
      <c r="V15" s="1">
        <v>464834000</v>
      </c>
      <c r="AB15" s="18" t="s">
        <v>119</v>
      </c>
      <c r="AC15" s="19" t="s">
        <v>120</v>
      </c>
      <c r="AD15" s="19" t="s">
        <v>121</v>
      </c>
      <c r="AE15" s="19" t="s">
        <v>122</v>
      </c>
    </row>
    <row r="16" spans="1:31" ht="19" x14ac:dyDescent="0.25">
      <c r="A16" s="5" t="s">
        <v>11</v>
      </c>
      <c r="B16" s="1">
        <v>86310000</v>
      </c>
      <c r="C16" s="1">
        <v>131111000</v>
      </c>
      <c r="D16" s="1" t="s">
        <v>91</v>
      </c>
      <c r="E16" s="1">
        <v>200301000</v>
      </c>
      <c r="F16" s="1">
        <v>274918000</v>
      </c>
      <c r="G16" s="1">
        <v>390488000</v>
      </c>
      <c r="H16" s="1">
        <v>500232000</v>
      </c>
      <c r="I16" s="1">
        <v>482356000</v>
      </c>
      <c r="J16" s="1">
        <v>680693000</v>
      </c>
      <c r="K16" s="1">
        <v>883889000</v>
      </c>
      <c r="L16" s="1">
        <v>967860000</v>
      </c>
      <c r="M16" s="1">
        <v>1135403000</v>
      </c>
      <c r="N16" s="1">
        <v>1386943000</v>
      </c>
      <c r="O16" s="1">
        <v>1844409000</v>
      </c>
      <c r="P16" s="1">
        <v>2108723000</v>
      </c>
      <c r="Q16" s="1">
        <v>2390054000</v>
      </c>
      <c r="R16" s="1">
        <v>3265778000</v>
      </c>
      <c r="S16" s="1">
        <v>3403127000</v>
      </c>
      <c r="T16" s="1">
        <v>3253627000</v>
      </c>
      <c r="U16" s="1">
        <v>3433475000</v>
      </c>
      <c r="V16" s="1">
        <v>4860932000</v>
      </c>
      <c r="AB16" s="25">
        <f>(V35+U35+T35+S35+R35)/5</f>
        <v>7.4334647250365263E-3</v>
      </c>
      <c r="AC16" s="33">
        <f>AD101/V3</f>
        <v>3.1251078934408292</v>
      </c>
      <c r="AD16" s="33">
        <f>AD101/V28</f>
        <v>56.944168773648755</v>
      </c>
      <c r="AE16" s="35">
        <f>AD101/V107</f>
        <v>-33.413452733943366</v>
      </c>
    </row>
    <row r="17" spans="1:31" ht="19" x14ac:dyDescent="0.25">
      <c r="A17" s="5" t="s">
        <v>12</v>
      </c>
      <c r="B17" s="1" t="s">
        <v>91</v>
      </c>
      <c r="C17" s="1" t="s">
        <v>91</v>
      </c>
      <c r="D17" s="1" t="s">
        <v>91</v>
      </c>
      <c r="E17" s="1" t="s">
        <v>91</v>
      </c>
      <c r="F17" s="1" t="s">
        <v>91</v>
      </c>
      <c r="G17" s="1" t="s">
        <v>91</v>
      </c>
      <c r="H17" s="1" t="s">
        <v>91</v>
      </c>
      <c r="I17" s="1">
        <v>930000</v>
      </c>
      <c r="J17" s="1">
        <v>383000</v>
      </c>
      <c r="K17" s="1">
        <v>686000</v>
      </c>
      <c r="L17" s="1">
        <v>717000</v>
      </c>
      <c r="M17" s="1">
        <v>610000</v>
      </c>
      <c r="N17" s="1">
        <v>757000</v>
      </c>
      <c r="O17" s="1">
        <v>965000</v>
      </c>
      <c r="P17" s="1">
        <v>1594000</v>
      </c>
      <c r="Q17" s="1">
        <v>2300000</v>
      </c>
      <c r="R17" s="1">
        <v>5726000</v>
      </c>
      <c r="S17" s="1">
        <v>6690000</v>
      </c>
      <c r="T17" s="1">
        <v>2236000</v>
      </c>
      <c r="U17" s="1">
        <v>2485000</v>
      </c>
      <c r="V17" s="1">
        <v>6413000</v>
      </c>
    </row>
    <row r="18" spans="1:31" ht="20" x14ac:dyDescent="0.25">
      <c r="A18" s="5" t="s">
        <v>13</v>
      </c>
      <c r="B18" s="1" t="s">
        <v>91</v>
      </c>
      <c r="C18" s="1" t="s">
        <v>91</v>
      </c>
      <c r="D18" s="1" t="s">
        <v>91</v>
      </c>
      <c r="E18" s="1">
        <v>922000</v>
      </c>
      <c r="F18" s="1">
        <v>1214000</v>
      </c>
      <c r="G18" s="1">
        <v>1640000</v>
      </c>
      <c r="H18" s="1">
        <v>2664000</v>
      </c>
      <c r="I18" s="1">
        <v>3653000</v>
      </c>
      <c r="J18" s="1">
        <v>4619000</v>
      </c>
      <c r="K18" s="1">
        <v>5453000</v>
      </c>
      <c r="L18" s="1">
        <v>7071000</v>
      </c>
      <c r="M18" s="1">
        <v>7835000</v>
      </c>
      <c r="N18" s="1">
        <v>6364000</v>
      </c>
      <c r="O18" s="1">
        <v>8133000</v>
      </c>
      <c r="P18" s="1">
        <v>13282000</v>
      </c>
      <c r="Q18" s="1">
        <v>16357000</v>
      </c>
      <c r="R18" s="1">
        <v>21846000</v>
      </c>
      <c r="S18" s="1">
        <v>24202000</v>
      </c>
      <c r="T18" s="1">
        <v>28472000</v>
      </c>
      <c r="U18" s="1">
        <v>28185000</v>
      </c>
      <c r="V18" s="1">
        <v>32471000</v>
      </c>
      <c r="AB18" s="18" t="s">
        <v>123</v>
      </c>
      <c r="AC18" s="19" t="s">
        <v>162</v>
      </c>
      <c r="AD18" s="19" t="s">
        <v>163</v>
      </c>
      <c r="AE18" s="19" t="s">
        <v>164</v>
      </c>
    </row>
    <row r="19" spans="1:31" ht="19" x14ac:dyDescent="0.25">
      <c r="A19" s="6" t="s">
        <v>14</v>
      </c>
      <c r="B19" s="10">
        <v>1774000</v>
      </c>
      <c r="C19" s="10">
        <v>1661000</v>
      </c>
      <c r="D19" s="10">
        <v>4854000</v>
      </c>
      <c r="E19" s="10">
        <v>11651000</v>
      </c>
      <c r="F19" s="10">
        <v>27836000</v>
      </c>
      <c r="G19" s="10">
        <v>30978000</v>
      </c>
      <c r="H19" s="10">
        <v>43468000</v>
      </c>
      <c r="I19" s="10">
        <v>27382000</v>
      </c>
      <c r="J19" s="10">
        <v>45467000</v>
      </c>
      <c r="K19" s="10">
        <v>64212000</v>
      </c>
      <c r="L19" s="10">
        <v>53139000</v>
      </c>
      <c r="M19" s="10">
        <v>35041000</v>
      </c>
      <c r="N19" s="10">
        <v>86715000</v>
      </c>
      <c r="O19" s="10">
        <v>154994000</v>
      </c>
      <c r="P19" s="10">
        <v>120303000</v>
      </c>
      <c r="Q19" s="10">
        <v>109945000</v>
      </c>
      <c r="R19" s="10">
        <v>112180000</v>
      </c>
      <c r="S19" s="10">
        <v>117694000</v>
      </c>
      <c r="T19" s="10">
        <v>117938000</v>
      </c>
      <c r="U19" s="10">
        <v>149471000</v>
      </c>
      <c r="V19" s="10">
        <v>376923000</v>
      </c>
      <c r="W19" s="62">
        <v>777000000</v>
      </c>
      <c r="X19" s="62">
        <v>976400000</v>
      </c>
      <c r="Y19" s="62">
        <v>1253000000</v>
      </c>
      <c r="Z19" s="62">
        <v>2106000000</v>
      </c>
      <c r="AA19" s="62">
        <v>3235000000</v>
      </c>
      <c r="AB19" s="26">
        <f>V40-V56-V61</f>
        <v>-353167000</v>
      </c>
      <c r="AC19" s="33">
        <f>AD101/W3</f>
        <v>2.4092537091988131</v>
      </c>
      <c r="AD19" s="34">
        <f>X116/W31</f>
        <v>27.489307100085547</v>
      </c>
      <c r="AE19" s="35">
        <f>AD101/W106</f>
        <v>66.632622076323344</v>
      </c>
    </row>
    <row r="20" spans="1:31" ht="19" customHeight="1" x14ac:dyDescent="0.25">
      <c r="A20" s="14" t="s">
        <v>100</v>
      </c>
      <c r="B20" s="1"/>
      <c r="C20" s="15">
        <f>(C19/B19)-1</f>
        <v>-6.3697857948139758E-2</v>
      </c>
      <c r="D20" s="15">
        <f>(D19/C19)-1</f>
        <v>1.922335942203492</v>
      </c>
      <c r="E20" s="15">
        <f>(E19/D19)-1</f>
        <v>1.4002884219200658</v>
      </c>
      <c r="F20" s="15">
        <f t="shared" ref="F20:V20" si="4">(F19/E19)-1</f>
        <v>1.3891511458243926</v>
      </c>
      <c r="G20" s="15">
        <f t="shared" si="4"/>
        <v>0.11287541313407101</v>
      </c>
      <c r="H20" s="15">
        <f t="shared" si="4"/>
        <v>0.40318936019110341</v>
      </c>
      <c r="I20" s="15">
        <f t="shared" si="4"/>
        <v>-0.37006533541915887</v>
      </c>
      <c r="J20" s="15">
        <f t="shared" si="4"/>
        <v>0.66047038200277552</v>
      </c>
      <c r="K20" s="15">
        <f t="shared" si="4"/>
        <v>0.41227703609211086</v>
      </c>
      <c r="L20" s="15">
        <f t="shared" si="4"/>
        <v>-0.17244440291534291</v>
      </c>
      <c r="M20" s="15">
        <f t="shared" si="4"/>
        <v>-0.34057848284687331</v>
      </c>
      <c r="N20" s="15">
        <f t="shared" si="4"/>
        <v>1.4746725264689933</v>
      </c>
      <c r="O20" s="15">
        <f t="shared" si="4"/>
        <v>0.78739549097618644</v>
      </c>
      <c r="P20" s="15">
        <f t="shared" si="4"/>
        <v>-0.22382156728647562</v>
      </c>
      <c r="Q20" s="15">
        <f t="shared" si="4"/>
        <v>-8.6099266019966203E-2</v>
      </c>
      <c r="R20" s="15">
        <f t="shared" si="4"/>
        <v>2.0328345991177388E-2</v>
      </c>
      <c r="S20" s="15">
        <f t="shared" si="4"/>
        <v>4.9153146728472041E-2</v>
      </c>
      <c r="T20" s="15">
        <f t="shared" si="4"/>
        <v>2.073172804051282E-3</v>
      </c>
      <c r="U20" s="15">
        <f t="shared" si="4"/>
        <v>0.26736929573165558</v>
      </c>
      <c r="V20" s="15">
        <f t="shared" si="4"/>
        <v>1.5217132420335719</v>
      </c>
      <c r="W20" s="16">
        <f t="shared" ref="W20" si="5">(W19/V19)-1</f>
        <v>1.0614289921283659</v>
      </c>
      <c r="X20" s="16">
        <f t="shared" ref="X20" si="6">(X19/W19)-1</f>
        <v>0.25662805662805654</v>
      </c>
      <c r="Y20" s="16">
        <f t="shared" ref="Y20" si="7">(Y19/X19)-1</f>
        <v>0.28328553871364193</v>
      </c>
      <c r="Z20" s="16">
        <f t="shared" ref="Z20" si="8">(Z19/Y19)-1</f>
        <v>0.68076616121308864</v>
      </c>
      <c r="AA20" s="16">
        <f t="shared" ref="AA20" si="9">(AA19/Z19)-1</f>
        <v>0.53608736942070268</v>
      </c>
    </row>
    <row r="21" spans="1:31" ht="20" x14ac:dyDescent="0.25">
      <c r="A21" s="5" t="s">
        <v>15</v>
      </c>
      <c r="B21" s="2">
        <v>1.9900000000000001E-2</v>
      </c>
      <c r="C21" s="2">
        <v>1.21E-2</v>
      </c>
      <c r="D21" s="2">
        <v>2.9100000000000001E-2</v>
      </c>
      <c r="E21" s="2">
        <v>5.5E-2</v>
      </c>
      <c r="F21" s="2">
        <v>9.1999999999999998E-2</v>
      </c>
      <c r="G21" s="2">
        <v>7.3700000000000002E-2</v>
      </c>
      <c r="H21" s="2">
        <v>8.0399999999999999E-2</v>
      </c>
      <c r="I21" s="2">
        <v>5.4199999999999998E-2</v>
      </c>
      <c r="J21" s="2">
        <v>6.3E-2</v>
      </c>
      <c r="K21" s="2">
        <v>6.8099999999999994E-2</v>
      </c>
      <c r="L21" s="2">
        <v>5.2400000000000002E-2</v>
      </c>
      <c r="M21" s="2">
        <v>3.0099999999999998E-2</v>
      </c>
      <c r="N21" s="2">
        <v>5.91E-2</v>
      </c>
      <c r="O21" s="2">
        <v>7.7799999999999994E-2</v>
      </c>
      <c r="P21" s="2">
        <v>5.4300000000000001E-2</v>
      </c>
      <c r="Q21" s="2">
        <v>4.4200000000000003E-2</v>
      </c>
      <c r="R21" s="2">
        <v>3.3399999999999999E-2</v>
      </c>
      <c r="S21" s="2">
        <v>3.3599999999999998E-2</v>
      </c>
      <c r="T21" s="2">
        <v>3.5299999999999998E-2</v>
      </c>
      <c r="U21" s="2">
        <v>4.2000000000000003E-2</v>
      </c>
      <c r="V21" s="2">
        <v>7.2499999999999995E-2</v>
      </c>
      <c r="W21" s="63">
        <f>W19/W3</f>
        <v>0.11528189910979228</v>
      </c>
      <c r="X21" s="63">
        <f t="shared" ref="X21:AA21" si="10">X19/X3</f>
        <v>0.12114143920595534</v>
      </c>
      <c r="Y21" s="63">
        <f t="shared" si="10"/>
        <v>0.13189473684210526</v>
      </c>
      <c r="Z21" s="63">
        <f t="shared" si="10"/>
        <v>0.20057142857142857</v>
      </c>
      <c r="AA21" s="63">
        <f t="shared" si="10"/>
        <v>0.28883928571428569</v>
      </c>
      <c r="AD21" s="18" t="s">
        <v>165</v>
      </c>
      <c r="AE21" s="19" t="s">
        <v>166</v>
      </c>
    </row>
    <row r="22" spans="1:31" ht="19" x14ac:dyDescent="0.25">
      <c r="A22" s="6" t="s">
        <v>16</v>
      </c>
      <c r="B22" s="10">
        <v>3029000</v>
      </c>
      <c r="C22" s="10">
        <v>6050000</v>
      </c>
      <c r="D22" s="10">
        <v>167065000</v>
      </c>
      <c r="E22" s="10">
        <v>11462000</v>
      </c>
      <c r="F22" s="10">
        <v>27623000</v>
      </c>
      <c r="G22" s="10">
        <v>29905000</v>
      </c>
      <c r="H22" s="10">
        <v>40271000</v>
      </c>
      <c r="I22" s="10">
        <v>23253000</v>
      </c>
      <c r="J22" s="10">
        <v>40745000</v>
      </c>
      <c r="K22" s="10">
        <v>58693000</v>
      </c>
      <c r="L22" s="10">
        <v>46014000</v>
      </c>
      <c r="M22" s="10">
        <v>27158000</v>
      </c>
      <c r="N22" s="10">
        <v>80259000</v>
      </c>
      <c r="O22" s="10">
        <v>146746000</v>
      </c>
      <c r="P22" s="10">
        <v>106850000</v>
      </c>
      <c r="Q22" s="10">
        <v>94875000</v>
      </c>
      <c r="R22" s="10">
        <v>94714000</v>
      </c>
      <c r="S22" s="10">
        <v>97233000</v>
      </c>
      <c r="T22" s="10">
        <v>85654000</v>
      </c>
      <c r="U22" s="10">
        <v>123947000</v>
      </c>
      <c r="V22" s="10">
        <v>335167000</v>
      </c>
      <c r="AD22" s="36">
        <f>(-1*V98)/AD101</f>
        <v>0</v>
      </c>
      <c r="AE22" s="37">
        <f>V107/AD101</f>
        <v>-2.992806544006572E-2</v>
      </c>
    </row>
    <row r="23" spans="1:31" ht="19" x14ac:dyDescent="0.25">
      <c r="A23" s="5" t="s">
        <v>17</v>
      </c>
      <c r="B23" s="2">
        <v>3.39E-2</v>
      </c>
      <c r="C23" s="2">
        <v>4.41E-2</v>
      </c>
      <c r="D23" s="2">
        <v>1</v>
      </c>
      <c r="E23" s="2">
        <v>5.4100000000000002E-2</v>
      </c>
      <c r="F23" s="2">
        <v>9.1300000000000006E-2</v>
      </c>
      <c r="G23" s="2">
        <v>7.1099999999999997E-2</v>
      </c>
      <c r="H23" s="2">
        <v>7.4499999999999997E-2</v>
      </c>
      <c r="I23" s="2">
        <v>4.5999999999999999E-2</v>
      </c>
      <c r="J23" s="2">
        <v>5.6500000000000002E-2</v>
      </c>
      <c r="K23" s="2">
        <v>6.2300000000000001E-2</v>
      </c>
      <c r="L23" s="2">
        <v>4.5400000000000003E-2</v>
      </c>
      <c r="M23" s="2">
        <v>2.3400000000000001E-2</v>
      </c>
      <c r="N23" s="2">
        <v>5.4699999999999999E-2</v>
      </c>
      <c r="O23" s="2">
        <v>7.3700000000000002E-2</v>
      </c>
      <c r="P23" s="2">
        <v>4.82E-2</v>
      </c>
      <c r="Q23" s="2">
        <v>3.8199999999999998E-2</v>
      </c>
      <c r="R23" s="2">
        <v>2.8199999999999999E-2</v>
      </c>
      <c r="S23" s="2">
        <v>2.7799999999999998E-2</v>
      </c>
      <c r="T23" s="2">
        <v>2.5700000000000001E-2</v>
      </c>
      <c r="U23" s="2">
        <v>3.4799999999999998E-2</v>
      </c>
      <c r="V23" s="2">
        <v>6.4500000000000002E-2</v>
      </c>
    </row>
    <row r="24" spans="1:31" ht="19" x14ac:dyDescent="0.25">
      <c r="A24" s="5" t="s">
        <v>18</v>
      </c>
      <c r="B24" s="1">
        <v>-399000</v>
      </c>
      <c r="C24" s="1">
        <v>-677000</v>
      </c>
      <c r="D24" s="1" t="s">
        <v>91</v>
      </c>
      <c r="E24" s="1">
        <v>-733000</v>
      </c>
      <c r="F24" s="1">
        <v>-1001000</v>
      </c>
      <c r="G24" s="1">
        <v>-567000</v>
      </c>
      <c r="H24" s="1">
        <v>533000</v>
      </c>
      <c r="I24" s="1">
        <v>-454000</v>
      </c>
      <c r="J24" s="1">
        <v>-280000</v>
      </c>
      <c r="K24" s="1">
        <v>-620000</v>
      </c>
      <c r="L24" s="1">
        <v>-663000</v>
      </c>
      <c r="M24" s="1">
        <v>-562000</v>
      </c>
      <c r="N24" s="1">
        <v>-665000</v>
      </c>
      <c r="O24" s="1">
        <v>-850000</v>
      </c>
      <c r="P24" s="1">
        <v>-1423000</v>
      </c>
      <c r="Q24" s="1">
        <v>-3587000</v>
      </c>
      <c r="R24" s="1">
        <v>-6499000</v>
      </c>
      <c r="S24" s="1">
        <v>-7710000</v>
      </c>
      <c r="T24" s="1">
        <v>-826000</v>
      </c>
      <c r="U24" s="1">
        <v>-5319000</v>
      </c>
      <c r="V24" s="1">
        <v>1666000</v>
      </c>
    </row>
    <row r="25" spans="1:31" ht="19" x14ac:dyDescent="0.25">
      <c r="A25" s="6" t="s">
        <v>19</v>
      </c>
      <c r="B25" s="10">
        <v>2630000</v>
      </c>
      <c r="C25" s="10">
        <v>5373000</v>
      </c>
      <c r="D25" s="10" t="s">
        <v>91</v>
      </c>
      <c r="E25" s="10">
        <v>10729000</v>
      </c>
      <c r="F25" s="10">
        <v>26622000</v>
      </c>
      <c r="G25" s="10">
        <v>29338000</v>
      </c>
      <c r="H25" s="10">
        <v>40804000</v>
      </c>
      <c r="I25" s="10">
        <v>22799000</v>
      </c>
      <c r="J25" s="10">
        <v>40465000</v>
      </c>
      <c r="K25" s="10">
        <v>58073000</v>
      </c>
      <c r="L25" s="10">
        <v>45351000</v>
      </c>
      <c r="M25" s="10">
        <v>26596000</v>
      </c>
      <c r="N25" s="10">
        <v>79594000</v>
      </c>
      <c r="O25" s="10">
        <v>145896000</v>
      </c>
      <c r="P25" s="10">
        <v>105427000</v>
      </c>
      <c r="Q25" s="10">
        <v>91288000</v>
      </c>
      <c r="R25" s="10">
        <v>88215000</v>
      </c>
      <c r="S25" s="10">
        <v>89523000</v>
      </c>
      <c r="T25" s="10">
        <v>84828000</v>
      </c>
      <c r="U25" s="10">
        <v>118628000</v>
      </c>
      <c r="V25" s="10">
        <v>336833000</v>
      </c>
    </row>
    <row r="26" spans="1:31" ht="19" x14ac:dyDescent="0.25">
      <c r="A26" s="5" t="s">
        <v>20</v>
      </c>
      <c r="B26" s="2">
        <v>2.9399999999999999E-2</v>
      </c>
      <c r="C26" s="2">
        <v>3.9199999999999999E-2</v>
      </c>
      <c r="D26" s="2" t="s">
        <v>91</v>
      </c>
      <c r="E26" s="2">
        <v>5.0700000000000002E-2</v>
      </c>
      <c r="F26" s="2">
        <v>8.7999999999999995E-2</v>
      </c>
      <c r="G26" s="2">
        <v>6.9800000000000001E-2</v>
      </c>
      <c r="H26" s="2">
        <v>7.5499999999999998E-2</v>
      </c>
      <c r="I26" s="2">
        <v>4.5100000000000001E-2</v>
      </c>
      <c r="J26" s="2">
        <v>5.6099999999999997E-2</v>
      </c>
      <c r="K26" s="2">
        <v>6.1600000000000002E-2</v>
      </c>
      <c r="L26" s="2">
        <v>4.4699999999999997E-2</v>
      </c>
      <c r="M26" s="2">
        <v>2.29E-2</v>
      </c>
      <c r="N26" s="2">
        <v>5.4199999999999998E-2</v>
      </c>
      <c r="O26" s="2">
        <v>7.3300000000000004E-2</v>
      </c>
      <c r="P26" s="2">
        <v>4.7600000000000003E-2</v>
      </c>
      <c r="Q26" s="2">
        <v>3.6700000000000003E-2</v>
      </c>
      <c r="R26" s="2">
        <v>2.63E-2</v>
      </c>
      <c r="S26" s="2">
        <v>2.5600000000000001E-2</v>
      </c>
      <c r="T26" s="2">
        <v>2.5399999999999999E-2</v>
      </c>
      <c r="U26" s="2">
        <v>3.3300000000000003E-2</v>
      </c>
      <c r="V26" s="2">
        <v>6.4799999999999996E-2</v>
      </c>
    </row>
    <row r="27" spans="1:31" ht="19" x14ac:dyDescent="0.25">
      <c r="A27" s="5" t="s">
        <v>21</v>
      </c>
      <c r="B27" s="1">
        <v>-428000</v>
      </c>
      <c r="C27" s="1">
        <v>-1856000</v>
      </c>
      <c r="D27" s="1" t="s">
        <v>91</v>
      </c>
      <c r="E27" s="1">
        <v>3639000</v>
      </c>
      <c r="F27" s="1">
        <v>9675000</v>
      </c>
      <c r="G27" s="1">
        <v>9999000</v>
      </c>
      <c r="H27" s="1">
        <v>15385000</v>
      </c>
      <c r="I27" s="1">
        <v>6692000</v>
      </c>
      <c r="J27" s="1">
        <v>13550000</v>
      </c>
      <c r="K27" s="1">
        <v>17860000</v>
      </c>
      <c r="L27" s="1">
        <v>15498000</v>
      </c>
      <c r="M27" s="1">
        <v>5317000</v>
      </c>
      <c r="N27" s="1">
        <v>25437000</v>
      </c>
      <c r="O27" s="1">
        <v>44033000</v>
      </c>
      <c r="P27" s="1">
        <v>33406000</v>
      </c>
      <c r="Q27" s="1">
        <v>24434000</v>
      </c>
      <c r="R27" s="1">
        <v>38443000</v>
      </c>
      <c r="S27" s="1">
        <v>14884000</v>
      </c>
      <c r="T27" s="1">
        <v>2922000</v>
      </c>
      <c r="U27" s="1">
        <v>6936000</v>
      </c>
      <c r="V27" s="1">
        <v>52876000</v>
      </c>
    </row>
    <row r="28" spans="1:31" ht="20" thickBot="1" x14ac:dyDescent="0.3">
      <c r="A28" s="7" t="s">
        <v>22</v>
      </c>
      <c r="B28" s="11">
        <v>2202000</v>
      </c>
      <c r="C28" s="11">
        <v>3517000</v>
      </c>
      <c r="D28" s="11">
        <v>4854000</v>
      </c>
      <c r="E28" s="11">
        <v>7090000</v>
      </c>
      <c r="F28" s="11">
        <v>16947000</v>
      </c>
      <c r="G28" s="11">
        <v>19339000</v>
      </c>
      <c r="H28" s="11">
        <v>25419000</v>
      </c>
      <c r="I28" s="11">
        <v>16107000</v>
      </c>
      <c r="J28" s="11">
        <v>26915000</v>
      </c>
      <c r="K28" s="11">
        <v>40213000</v>
      </c>
      <c r="L28" s="11">
        <v>29853000</v>
      </c>
      <c r="M28" s="11">
        <v>21279000</v>
      </c>
      <c r="N28" s="11">
        <v>54157000</v>
      </c>
      <c r="O28" s="11">
        <v>101863000</v>
      </c>
      <c r="P28" s="11">
        <v>72021000</v>
      </c>
      <c r="Q28" s="11">
        <v>66854000</v>
      </c>
      <c r="R28" s="11">
        <v>46165000</v>
      </c>
      <c r="S28" s="11">
        <v>71918000</v>
      </c>
      <c r="T28" s="11">
        <v>84308000</v>
      </c>
      <c r="U28" s="11">
        <v>111865000</v>
      </c>
      <c r="V28" s="11">
        <v>285163000</v>
      </c>
      <c r="W28" s="59">
        <v>613700000</v>
      </c>
      <c r="X28" s="59">
        <v>707400000</v>
      </c>
      <c r="Y28" s="59">
        <v>1006000000</v>
      </c>
      <c r="Z28" s="59">
        <v>910900000</v>
      </c>
      <c r="AA28" s="59">
        <v>1096000000</v>
      </c>
    </row>
    <row r="29" spans="1:31" ht="20" customHeight="1" thickTop="1" x14ac:dyDescent="0.25">
      <c r="A29" s="14" t="s">
        <v>101</v>
      </c>
      <c r="B29" s="1"/>
      <c r="C29" s="15">
        <f>(C28/B28)-1</f>
        <v>0.59718437783832878</v>
      </c>
      <c r="D29" s="15">
        <f>(D28/C28)-1</f>
        <v>0.38015353994882006</v>
      </c>
      <c r="E29" s="15">
        <f>(E28/D28)-1</f>
        <v>0.46065100947672022</v>
      </c>
      <c r="F29" s="15">
        <f t="shared" ref="F29:V29" si="11">(F28/E28)-1</f>
        <v>1.3902679830747533</v>
      </c>
      <c r="G29" s="15">
        <f t="shared" si="11"/>
        <v>0.14114592553254268</v>
      </c>
      <c r="H29" s="15">
        <f t="shared" si="11"/>
        <v>0.31439060964889598</v>
      </c>
      <c r="I29" s="15">
        <f t="shared" si="11"/>
        <v>-0.36634013926590347</v>
      </c>
      <c r="J29" s="15">
        <f t="shared" si="11"/>
        <v>0.6710126032159931</v>
      </c>
      <c r="K29" s="15">
        <f t="shared" si="11"/>
        <v>0.49407393646665421</v>
      </c>
      <c r="L29" s="15">
        <f t="shared" si="11"/>
        <v>-0.25762813020664954</v>
      </c>
      <c r="M29" s="15">
        <f t="shared" si="11"/>
        <v>-0.28720731584765347</v>
      </c>
      <c r="N29" s="15">
        <f t="shared" si="11"/>
        <v>1.5450914046712723</v>
      </c>
      <c r="O29" s="15">
        <f t="shared" si="11"/>
        <v>0.8808833576453643</v>
      </c>
      <c r="P29" s="15">
        <f t="shared" si="11"/>
        <v>-0.29296211578296338</v>
      </c>
      <c r="Q29" s="15">
        <f t="shared" si="11"/>
        <v>-7.1742963857763686E-2</v>
      </c>
      <c r="R29" s="15">
        <f t="shared" si="11"/>
        <v>-0.30946540221976249</v>
      </c>
      <c r="S29" s="15">
        <f t="shared" si="11"/>
        <v>0.55784685367702802</v>
      </c>
      <c r="T29" s="15">
        <f t="shared" si="11"/>
        <v>0.17227954058789186</v>
      </c>
      <c r="U29" s="15">
        <f t="shared" si="11"/>
        <v>0.32686103335389283</v>
      </c>
      <c r="V29" s="15">
        <f t="shared" si="11"/>
        <v>1.549170875608993</v>
      </c>
      <c r="W29" s="16">
        <f t="shared" ref="W29" si="12">(W28/V28)-1</f>
        <v>1.1521024817385146</v>
      </c>
      <c r="X29" s="16">
        <f t="shared" ref="X29" si="13">(X28/W28)-1</f>
        <v>0.15268046276682412</v>
      </c>
      <c r="Y29" s="16">
        <f t="shared" ref="Y29" si="14">(Y28/X28)-1</f>
        <v>0.4221091320327961</v>
      </c>
      <c r="Z29" s="16">
        <f t="shared" ref="Z29" si="15">(Z28/Y28)-1</f>
        <v>-9.4532803180914504E-2</v>
      </c>
      <c r="AA29" s="16">
        <f t="shared" ref="AA29" si="16">(AA28/Z28)-1</f>
        <v>0.20320562081457894</v>
      </c>
    </row>
    <row r="30" spans="1:31" ht="19" x14ac:dyDescent="0.25">
      <c r="A30" s="5" t="s">
        <v>23</v>
      </c>
      <c r="B30" s="2">
        <v>2.46E-2</v>
      </c>
      <c r="C30" s="2">
        <v>2.5600000000000001E-2</v>
      </c>
      <c r="D30" s="2">
        <v>2.9100000000000001E-2</v>
      </c>
      <c r="E30" s="2">
        <v>3.3500000000000002E-2</v>
      </c>
      <c r="F30" s="2">
        <v>5.6000000000000001E-2</v>
      </c>
      <c r="G30" s="2">
        <v>4.5999999999999999E-2</v>
      </c>
      <c r="H30" s="2">
        <v>4.7E-2</v>
      </c>
      <c r="I30" s="2">
        <v>3.1899999999999998E-2</v>
      </c>
      <c r="J30" s="2">
        <v>3.73E-2</v>
      </c>
      <c r="K30" s="2">
        <v>4.2700000000000002E-2</v>
      </c>
      <c r="L30" s="2">
        <v>2.9399999999999999E-2</v>
      </c>
      <c r="M30" s="2">
        <v>1.83E-2</v>
      </c>
      <c r="N30" s="2">
        <v>3.6900000000000002E-2</v>
      </c>
      <c r="O30" s="2">
        <v>5.1200000000000002E-2</v>
      </c>
      <c r="P30" s="2">
        <v>3.2500000000000001E-2</v>
      </c>
      <c r="Q30" s="2">
        <v>2.69E-2</v>
      </c>
      <c r="R30" s="2">
        <v>1.37E-2</v>
      </c>
      <c r="S30" s="2">
        <v>2.0500000000000001E-2</v>
      </c>
      <c r="T30" s="2">
        <v>2.52E-2</v>
      </c>
      <c r="U30" s="2">
        <v>3.1399999999999997E-2</v>
      </c>
      <c r="V30" s="2">
        <v>5.4899999999999997E-2</v>
      </c>
      <c r="W30" s="60">
        <f>W28/W3</f>
        <v>9.1053412462908018E-2</v>
      </c>
      <c r="X30" s="60">
        <f t="shared" ref="X30:AA30" si="17">X28/X3</f>
        <v>8.7766749379652606E-2</v>
      </c>
      <c r="Y30" s="60">
        <f t="shared" si="17"/>
        <v>0.10589473684210526</v>
      </c>
      <c r="Z30" s="60">
        <f t="shared" si="17"/>
        <v>8.6752380952380956E-2</v>
      </c>
      <c r="AA30" s="60">
        <f t="shared" si="17"/>
        <v>9.7857142857142851E-2</v>
      </c>
    </row>
    <row r="31" spans="1:31" ht="19" x14ac:dyDescent="0.25">
      <c r="A31" s="5" t="s">
        <v>24</v>
      </c>
      <c r="B31" s="12">
        <v>0.1</v>
      </c>
      <c r="C31" s="12">
        <v>0.16</v>
      </c>
      <c r="D31" s="12">
        <v>0.22</v>
      </c>
      <c r="E31" s="12">
        <v>0.32</v>
      </c>
      <c r="F31" s="12">
        <v>0.77</v>
      </c>
      <c r="G31" s="12">
        <v>0.8</v>
      </c>
      <c r="H31" s="12">
        <v>0.81</v>
      </c>
      <c r="I31" s="12">
        <v>0.47</v>
      </c>
      <c r="J31" s="12">
        <v>0.73</v>
      </c>
      <c r="K31" s="12">
        <v>1.04</v>
      </c>
      <c r="L31" s="12">
        <v>0.72</v>
      </c>
      <c r="M31" s="12">
        <v>0.5</v>
      </c>
      <c r="N31" s="12">
        <v>1.24</v>
      </c>
      <c r="O31" s="12">
        <v>2.19</v>
      </c>
      <c r="P31" s="12">
        <v>1.5</v>
      </c>
      <c r="Q31" s="12">
        <v>1.43</v>
      </c>
      <c r="R31" s="12">
        <v>0.94</v>
      </c>
      <c r="S31" s="12">
        <v>1.44</v>
      </c>
      <c r="T31" s="12">
        <v>1.65</v>
      </c>
      <c r="U31" s="12">
        <v>2.19</v>
      </c>
      <c r="V31" s="12">
        <v>5.54</v>
      </c>
      <c r="W31" s="61">
        <v>11.69</v>
      </c>
      <c r="X31" s="61">
        <v>13.48</v>
      </c>
      <c r="Y31" s="61">
        <v>19.170000000000002</v>
      </c>
      <c r="Z31" s="61">
        <v>17.350000000000001</v>
      </c>
      <c r="AA31" s="61">
        <v>20.88</v>
      </c>
    </row>
    <row r="32" spans="1:31" ht="19" x14ac:dyDescent="0.25">
      <c r="A32" s="5" t="s">
        <v>25</v>
      </c>
      <c r="B32" s="12">
        <v>0.09</v>
      </c>
      <c r="C32" s="12">
        <v>0.14000000000000001</v>
      </c>
      <c r="D32" s="12">
        <v>0.17</v>
      </c>
      <c r="E32" s="12">
        <v>0.24</v>
      </c>
      <c r="F32" s="12">
        <v>0.53</v>
      </c>
      <c r="G32" s="12">
        <v>0.56999999999999995</v>
      </c>
      <c r="H32" s="12">
        <v>0.65</v>
      </c>
      <c r="I32" s="12">
        <v>0.41</v>
      </c>
      <c r="J32" s="12">
        <v>0.65</v>
      </c>
      <c r="K32" s="12">
        <v>0.93</v>
      </c>
      <c r="L32" s="12">
        <v>0.67</v>
      </c>
      <c r="M32" s="12">
        <v>0.48</v>
      </c>
      <c r="N32" s="12">
        <v>1.1599999999999999</v>
      </c>
      <c r="O32" s="12">
        <v>2.0299999999999998</v>
      </c>
      <c r="P32" s="12">
        <v>1.39</v>
      </c>
      <c r="Q32" s="12">
        <v>1.34</v>
      </c>
      <c r="R32" s="12">
        <v>0.89</v>
      </c>
      <c r="S32" s="12">
        <v>1.39</v>
      </c>
      <c r="T32" s="12">
        <v>1.6</v>
      </c>
      <c r="U32" s="12">
        <v>2.09</v>
      </c>
      <c r="V32" s="12">
        <v>5.32</v>
      </c>
    </row>
    <row r="33" spans="1:22" ht="19" x14ac:dyDescent="0.25">
      <c r="A33" s="5" t="s">
        <v>26</v>
      </c>
      <c r="B33" s="1">
        <v>21324000</v>
      </c>
      <c r="C33" s="1">
        <v>21714000</v>
      </c>
      <c r="D33" s="1">
        <v>21897236</v>
      </c>
      <c r="E33" s="1">
        <v>21914692</v>
      </c>
      <c r="F33" s="1">
        <v>22010586</v>
      </c>
      <c r="G33" s="1">
        <v>24152769</v>
      </c>
      <c r="H33" s="1">
        <v>31354956</v>
      </c>
      <c r="I33" s="1">
        <v>34217571</v>
      </c>
      <c r="J33" s="1">
        <v>35883640</v>
      </c>
      <c r="K33" s="1">
        <v>38132114</v>
      </c>
      <c r="L33" s="1">
        <v>40890000</v>
      </c>
      <c r="M33" s="1">
        <v>41992000</v>
      </c>
      <c r="N33" s="1">
        <v>43599000</v>
      </c>
      <c r="O33" s="1">
        <v>46434000</v>
      </c>
      <c r="P33" s="1">
        <v>47917000</v>
      </c>
      <c r="Q33" s="1">
        <v>48383000</v>
      </c>
      <c r="R33" s="1">
        <v>49345000</v>
      </c>
      <c r="S33" s="1">
        <v>49917000</v>
      </c>
      <c r="T33" s="1">
        <v>50987000</v>
      </c>
      <c r="U33" s="1">
        <v>51157000</v>
      </c>
      <c r="V33" s="1">
        <v>51478000</v>
      </c>
    </row>
    <row r="34" spans="1:22" ht="19" x14ac:dyDescent="0.25">
      <c r="A34" s="5" t="s">
        <v>27</v>
      </c>
      <c r="B34" s="1">
        <v>24962000</v>
      </c>
      <c r="C34" s="1">
        <v>25726000</v>
      </c>
      <c r="D34" s="1">
        <v>28061656</v>
      </c>
      <c r="E34" s="1">
        <v>29442420</v>
      </c>
      <c r="F34" s="1">
        <v>31846864</v>
      </c>
      <c r="G34" s="1">
        <v>33946074</v>
      </c>
      <c r="H34" s="1">
        <v>38843151</v>
      </c>
      <c r="I34" s="1">
        <v>39155727</v>
      </c>
      <c r="J34" s="1">
        <v>40735336</v>
      </c>
      <c r="K34" s="1">
        <v>42395970</v>
      </c>
      <c r="L34" s="1">
        <v>44152000</v>
      </c>
      <c r="M34" s="1">
        <v>43907000</v>
      </c>
      <c r="N34" s="1">
        <v>46512000</v>
      </c>
      <c r="O34" s="1">
        <v>50094000</v>
      </c>
      <c r="P34" s="1">
        <v>51836000</v>
      </c>
      <c r="Q34" s="1">
        <v>51679000</v>
      </c>
      <c r="R34" s="1">
        <v>52151000</v>
      </c>
      <c r="S34" s="1">
        <v>51716000</v>
      </c>
      <c r="T34" s="1">
        <v>52838000</v>
      </c>
      <c r="U34" s="1">
        <v>53507000</v>
      </c>
      <c r="V34" s="1">
        <v>53615000</v>
      </c>
    </row>
    <row r="35" spans="1:22" ht="20" customHeight="1" x14ac:dyDescent="0.25">
      <c r="A35" s="14" t="s">
        <v>102</v>
      </c>
      <c r="B35" s="1"/>
      <c r="C35" s="22">
        <f>(C34-B34)/B34</f>
        <v>3.0606521913308229E-2</v>
      </c>
      <c r="D35" s="22">
        <f t="shared" ref="D35:V35" si="18">(D34-C34)/C34</f>
        <v>9.0789706911295967E-2</v>
      </c>
      <c r="E35" s="22">
        <f t="shared" si="18"/>
        <v>4.9204651357710322E-2</v>
      </c>
      <c r="F35" s="22">
        <f t="shared" si="18"/>
        <v>8.1665977185299304E-2</v>
      </c>
      <c r="G35" s="22">
        <f t="shared" si="18"/>
        <v>6.5915752332788555E-2</v>
      </c>
      <c r="H35" s="22">
        <f t="shared" si="18"/>
        <v>0.14426048208107953</v>
      </c>
      <c r="I35" s="22">
        <f t="shared" si="18"/>
        <v>8.0471329424330173E-3</v>
      </c>
      <c r="J35" s="22">
        <f t="shared" si="18"/>
        <v>4.0341710422079506E-2</v>
      </c>
      <c r="K35" s="22">
        <f t="shared" si="18"/>
        <v>4.076642451163285E-2</v>
      </c>
      <c r="L35" s="22">
        <f t="shared" si="18"/>
        <v>4.1419738715731708E-2</v>
      </c>
      <c r="M35" s="22">
        <f t="shared" si="18"/>
        <v>-5.5490125022649031E-3</v>
      </c>
      <c r="N35" s="22">
        <f t="shared" si="18"/>
        <v>5.9329947388799049E-2</v>
      </c>
      <c r="O35" s="22">
        <f t="shared" si="18"/>
        <v>7.7012383900928794E-2</v>
      </c>
      <c r="P35" s="22">
        <f t="shared" si="18"/>
        <v>3.4774623707430029E-2</v>
      </c>
      <c r="Q35" s="22">
        <f t="shared" si="18"/>
        <v>-3.0287830851145922E-3</v>
      </c>
      <c r="R35" s="22">
        <f t="shared" si="18"/>
        <v>9.1333036629965749E-3</v>
      </c>
      <c r="S35" s="22">
        <f t="shared" si="18"/>
        <v>-8.3411631608214607E-3</v>
      </c>
      <c r="T35" s="22">
        <f t="shared" si="18"/>
        <v>2.1695413411710111E-2</v>
      </c>
      <c r="U35" s="22">
        <f t="shared" si="18"/>
        <v>1.2661342215829516E-2</v>
      </c>
      <c r="V35" s="22">
        <f t="shared" si="18"/>
        <v>2.0184274954678826E-3</v>
      </c>
    </row>
    <row r="36" spans="1:22"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row>
    <row r="37" spans="1:22"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row>
    <row r="38" spans="1:22" ht="19" x14ac:dyDescent="0.25">
      <c r="A38" s="5" t="s">
        <v>30</v>
      </c>
      <c r="B38" s="1" t="s">
        <v>91</v>
      </c>
      <c r="C38" s="1">
        <v>3970000</v>
      </c>
      <c r="D38" s="1">
        <v>6357000</v>
      </c>
      <c r="E38" s="1">
        <v>11170000</v>
      </c>
      <c r="F38" s="1">
        <v>16509000</v>
      </c>
      <c r="G38" s="1">
        <v>50864000</v>
      </c>
      <c r="H38" s="1">
        <v>51481000</v>
      </c>
      <c r="I38" s="1">
        <v>70295000</v>
      </c>
      <c r="J38" s="1">
        <v>72644000</v>
      </c>
      <c r="K38" s="1">
        <v>69943000</v>
      </c>
      <c r="L38" s="1">
        <v>80826000</v>
      </c>
      <c r="M38" s="1">
        <v>93038000</v>
      </c>
      <c r="N38" s="1">
        <v>96872000</v>
      </c>
      <c r="O38" s="1">
        <v>95442000</v>
      </c>
      <c r="P38" s="1">
        <v>180964000</v>
      </c>
      <c r="Q38" s="1">
        <v>110606000</v>
      </c>
      <c r="R38" s="1">
        <v>115377000</v>
      </c>
      <c r="S38" s="1">
        <v>248164000</v>
      </c>
      <c r="T38" s="1">
        <v>210533000</v>
      </c>
      <c r="U38" s="1">
        <v>232266000</v>
      </c>
      <c r="V38" s="1">
        <v>267397000</v>
      </c>
    </row>
    <row r="39" spans="1:22" ht="19" x14ac:dyDescent="0.25">
      <c r="A39" s="5" t="s">
        <v>31</v>
      </c>
      <c r="B39" s="1" t="s">
        <v>91</v>
      </c>
      <c r="C39" s="1" t="s">
        <v>91</v>
      </c>
      <c r="D39" s="1" t="s">
        <v>91</v>
      </c>
      <c r="E39" s="1">
        <v>1767000</v>
      </c>
      <c r="F39" s="1">
        <v>53000</v>
      </c>
      <c r="G39" s="1">
        <v>15055000</v>
      </c>
      <c r="H39" s="1">
        <v>57000</v>
      </c>
      <c r="I39" s="1">
        <v>347000</v>
      </c>
      <c r="J39" s="1">
        <v>845000</v>
      </c>
      <c r="K39" s="1">
        <v>59000</v>
      </c>
      <c r="L39" s="1" t="s">
        <v>91</v>
      </c>
      <c r="M39" s="1" t="s">
        <v>91</v>
      </c>
      <c r="N39" s="1" t="s">
        <v>91</v>
      </c>
      <c r="O39" s="1" t="s">
        <v>91</v>
      </c>
      <c r="P39" s="1" t="s">
        <v>91</v>
      </c>
      <c r="Q39" s="1" t="s">
        <v>91</v>
      </c>
      <c r="R39" s="1" t="s">
        <v>91</v>
      </c>
      <c r="S39" s="1" t="s">
        <v>91</v>
      </c>
      <c r="T39" s="1" t="s">
        <v>91</v>
      </c>
      <c r="U39" s="1" t="s">
        <v>91</v>
      </c>
      <c r="V39" s="1" t="s">
        <v>91</v>
      </c>
    </row>
    <row r="40" spans="1:22" ht="19" x14ac:dyDescent="0.25">
      <c r="A40" s="5" t="s">
        <v>32</v>
      </c>
      <c r="B40" s="1" t="s">
        <v>91</v>
      </c>
      <c r="C40" s="1">
        <v>3970000</v>
      </c>
      <c r="D40" s="1">
        <v>6357000</v>
      </c>
      <c r="E40" s="1">
        <v>12937000</v>
      </c>
      <c r="F40" s="1">
        <v>16562000</v>
      </c>
      <c r="G40" s="1">
        <v>65919000</v>
      </c>
      <c r="H40" s="1">
        <v>51538000</v>
      </c>
      <c r="I40" s="1">
        <v>70642000</v>
      </c>
      <c r="J40" s="1">
        <v>73489000</v>
      </c>
      <c r="K40" s="1">
        <v>70002000</v>
      </c>
      <c r="L40" s="1">
        <v>80826000</v>
      </c>
      <c r="M40" s="1">
        <v>93038000</v>
      </c>
      <c r="N40" s="1">
        <v>96872000</v>
      </c>
      <c r="O40" s="1">
        <v>95442000</v>
      </c>
      <c r="P40" s="1">
        <v>180964000</v>
      </c>
      <c r="Q40" s="1">
        <v>110606000</v>
      </c>
      <c r="R40" s="1">
        <v>115377000</v>
      </c>
      <c r="S40" s="1">
        <v>248164000</v>
      </c>
      <c r="T40" s="1">
        <v>210533000</v>
      </c>
      <c r="U40" s="1">
        <v>232266000</v>
      </c>
      <c r="V40" s="1">
        <v>267397000</v>
      </c>
    </row>
    <row r="41" spans="1:22" ht="19" x14ac:dyDescent="0.25">
      <c r="A41" s="5" t="s">
        <v>33</v>
      </c>
      <c r="B41" s="1" t="s">
        <v>91</v>
      </c>
      <c r="C41" s="1" t="s">
        <v>91</v>
      </c>
      <c r="D41" s="1" t="s">
        <v>91</v>
      </c>
      <c r="E41" s="1">
        <v>13523000</v>
      </c>
      <c r="F41" s="1">
        <v>22252000</v>
      </c>
      <c r="G41" s="1">
        <v>33426000</v>
      </c>
      <c r="H41" s="1">
        <v>49501000</v>
      </c>
      <c r="I41" s="1">
        <v>45709000</v>
      </c>
      <c r="J41" s="1">
        <v>72963000</v>
      </c>
      <c r="K41" s="1">
        <v>85005000</v>
      </c>
      <c r="L41" s="1">
        <v>102014000</v>
      </c>
      <c r="M41" s="1">
        <v>149340000</v>
      </c>
      <c r="N41" s="1">
        <v>212738000</v>
      </c>
      <c r="O41" s="1">
        <v>322594000</v>
      </c>
      <c r="P41" s="1">
        <v>288941000</v>
      </c>
      <c r="Q41" s="1">
        <v>402660000</v>
      </c>
      <c r="R41" s="1">
        <v>544396000</v>
      </c>
      <c r="S41" s="1">
        <v>476674000</v>
      </c>
      <c r="T41" s="1">
        <v>498604000</v>
      </c>
      <c r="U41" s="1">
        <v>563755000</v>
      </c>
      <c r="V41" s="1">
        <v>972567000</v>
      </c>
    </row>
    <row r="42" spans="1:22" ht="19" x14ac:dyDescent="0.25">
      <c r="A42" s="5" t="s">
        <v>34</v>
      </c>
      <c r="B42" s="1" t="s">
        <v>91</v>
      </c>
      <c r="C42" s="1" t="s">
        <v>91</v>
      </c>
      <c r="D42" s="1" t="s">
        <v>91</v>
      </c>
      <c r="E42" s="1">
        <v>40525000</v>
      </c>
      <c r="F42" s="1">
        <v>57612000</v>
      </c>
      <c r="G42" s="1">
        <v>66772000</v>
      </c>
      <c r="H42" s="1">
        <v>85683000</v>
      </c>
      <c r="I42" s="1">
        <v>90044000</v>
      </c>
      <c r="J42" s="1">
        <v>135584000</v>
      </c>
      <c r="K42" s="1">
        <v>192711000</v>
      </c>
      <c r="L42" s="1">
        <v>276599000</v>
      </c>
      <c r="M42" s="1">
        <v>254170000</v>
      </c>
      <c r="N42" s="1">
        <v>315837000</v>
      </c>
      <c r="O42" s="1">
        <v>463493000</v>
      </c>
      <c r="P42" s="1">
        <v>448980000</v>
      </c>
      <c r="Q42" s="1">
        <v>736668000</v>
      </c>
      <c r="R42" s="1">
        <v>853252000</v>
      </c>
      <c r="S42" s="1">
        <v>670188000</v>
      </c>
      <c r="T42" s="1">
        <v>851498000</v>
      </c>
      <c r="U42" s="1">
        <v>1040964000</v>
      </c>
      <c r="V42" s="1">
        <v>1545606000</v>
      </c>
    </row>
    <row r="43" spans="1:22" ht="19" x14ac:dyDescent="0.25">
      <c r="A43" s="5" t="s">
        <v>35</v>
      </c>
      <c r="B43" s="1" t="s">
        <v>91</v>
      </c>
      <c r="C43" s="1" t="s">
        <v>91</v>
      </c>
      <c r="D43" s="1" t="s">
        <v>91</v>
      </c>
      <c r="E43" s="1">
        <v>3444000</v>
      </c>
      <c r="F43" s="1">
        <v>4751000</v>
      </c>
      <c r="G43" s="1">
        <v>7389000</v>
      </c>
      <c r="H43" s="1">
        <v>13161000</v>
      </c>
      <c r="I43" s="1">
        <v>13623000</v>
      </c>
      <c r="J43" s="1">
        <v>14821000</v>
      </c>
      <c r="K43" s="1">
        <v>21904000</v>
      </c>
      <c r="L43" s="1">
        <v>22473000</v>
      </c>
      <c r="M43" s="1">
        <v>26644000</v>
      </c>
      <c r="N43" s="1">
        <v>28634000</v>
      </c>
      <c r="O43" s="1">
        <v>32886000</v>
      </c>
      <c r="P43" s="1">
        <v>19117000</v>
      </c>
      <c r="Q43" s="1">
        <v>11232000</v>
      </c>
      <c r="R43" s="1">
        <v>17853000</v>
      </c>
      <c r="S43" s="1">
        <v>26745000</v>
      </c>
      <c r="T43" s="1">
        <v>32126000</v>
      </c>
      <c r="U43" s="1">
        <v>30274000</v>
      </c>
      <c r="V43" s="1">
        <v>20745000</v>
      </c>
    </row>
    <row r="44" spans="1:22" ht="19" x14ac:dyDescent="0.25">
      <c r="A44" s="6" t="s">
        <v>36</v>
      </c>
      <c r="B44" s="10" t="s">
        <v>91</v>
      </c>
      <c r="C44" s="10" t="s">
        <v>91</v>
      </c>
      <c r="D44" s="10" t="s">
        <v>91</v>
      </c>
      <c r="E44" s="10">
        <v>70429000</v>
      </c>
      <c r="F44" s="10">
        <v>101177000</v>
      </c>
      <c r="G44" s="10">
        <v>173506000</v>
      </c>
      <c r="H44" s="10">
        <v>199883000</v>
      </c>
      <c r="I44" s="10">
        <v>220018000</v>
      </c>
      <c r="J44" s="10">
        <v>296857000</v>
      </c>
      <c r="K44" s="10">
        <v>369622000</v>
      </c>
      <c r="L44" s="10">
        <v>481912000</v>
      </c>
      <c r="M44" s="10">
        <v>523192000</v>
      </c>
      <c r="N44" s="10">
        <v>654081000</v>
      </c>
      <c r="O44" s="10">
        <v>914415000</v>
      </c>
      <c r="P44" s="10">
        <v>938002000</v>
      </c>
      <c r="Q44" s="10">
        <v>1261166000</v>
      </c>
      <c r="R44" s="10">
        <v>1530878000</v>
      </c>
      <c r="S44" s="10">
        <v>1421771000</v>
      </c>
      <c r="T44" s="10">
        <v>1592761000</v>
      </c>
      <c r="U44" s="10">
        <v>1867259000</v>
      </c>
      <c r="V44" s="10">
        <v>2806315000</v>
      </c>
    </row>
    <row r="45" spans="1:22" ht="19" x14ac:dyDescent="0.25">
      <c r="A45" s="5" t="s">
        <v>37</v>
      </c>
      <c r="B45" s="1" t="s">
        <v>91</v>
      </c>
      <c r="C45" s="1" t="s">
        <v>91</v>
      </c>
      <c r="D45" s="1" t="s">
        <v>91</v>
      </c>
      <c r="E45" s="1">
        <v>19077000</v>
      </c>
      <c r="F45" s="1">
        <v>29605000</v>
      </c>
      <c r="G45" s="1">
        <v>31089000</v>
      </c>
      <c r="H45" s="1">
        <v>45602000</v>
      </c>
      <c r="I45" s="1">
        <v>44960000</v>
      </c>
      <c r="J45" s="1">
        <v>62691000</v>
      </c>
      <c r="K45" s="1">
        <v>74438000</v>
      </c>
      <c r="L45" s="1">
        <v>97419000</v>
      </c>
      <c r="M45" s="1">
        <v>95912000</v>
      </c>
      <c r="N45" s="1">
        <v>130589000</v>
      </c>
      <c r="O45" s="1">
        <v>163038000</v>
      </c>
      <c r="P45" s="1">
        <v>187949000</v>
      </c>
      <c r="Q45" s="1">
        <v>195576000</v>
      </c>
      <c r="R45" s="1">
        <v>196631000</v>
      </c>
      <c r="S45" s="1">
        <v>207337000</v>
      </c>
      <c r="T45" s="1">
        <v>257569000</v>
      </c>
      <c r="U45" s="1">
        <v>294760000</v>
      </c>
      <c r="V45" s="1">
        <v>309651000</v>
      </c>
    </row>
    <row r="46" spans="1:22"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row>
    <row r="47" spans="1:22"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t="s">
        <v>91</v>
      </c>
      <c r="R47" s="1" t="s">
        <v>91</v>
      </c>
      <c r="S47" s="1" t="s">
        <v>91</v>
      </c>
      <c r="T47" s="1" t="s">
        <v>91</v>
      </c>
      <c r="U47" s="1" t="s">
        <v>91</v>
      </c>
      <c r="V47" s="1" t="s">
        <v>91</v>
      </c>
    </row>
    <row r="48" spans="1:22"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t="s">
        <v>91</v>
      </c>
      <c r="Q48" s="1" t="s">
        <v>91</v>
      </c>
      <c r="R48" s="1" t="s">
        <v>91</v>
      </c>
      <c r="S48" s="1" t="s">
        <v>91</v>
      </c>
      <c r="T48" s="1" t="s">
        <v>91</v>
      </c>
      <c r="U48" s="1" t="s">
        <v>91</v>
      </c>
      <c r="V48" s="1" t="s">
        <v>91</v>
      </c>
    </row>
    <row r="49" spans="1:22" ht="19" x14ac:dyDescent="0.25">
      <c r="A49" s="5" t="s">
        <v>41</v>
      </c>
      <c r="B49" s="1" t="s">
        <v>91</v>
      </c>
      <c r="C49" s="1" t="s">
        <v>91</v>
      </c>
      <c r="D49" s="1" t="s">
        <v>91</v>
      </c>
      <c r="E49" s="1" t="s">
        <v>91</v>
      </c>
      <c r="F49" s="1" t="s">
        <v>91</v>
      </c>
      <c r="G49" s="1" t="s">
        <v>91</v>
      </c>
      <c r="H49" s="1" t="s">
        <v>91</v>
      </c>
      <c r="I49" s="1">
        <v>14355000</v>
      </c>
      <c r="J49" s="1">
        <v>5901000</v>
      </c>
      <c r="K49" s="1">
        <v>5188000</v>
      </c>
      <c r="L49" s="1">
        <v>2923000</v>
      </c>
      <c r="M49" s="1">
        <v>2637000</v>
      </c>
      <c r="N49" s="1">
        <v>3397000</v>
      </c>
      <c r="O49" s="1">
        <v>2633000</v>
      </c>
      <c r="P49" s="1">
        <v>4054000</v>
      </c>
      <c r="Q49" s="1">
        <v>10221000</v>
      </c>
      <c r="R49" s="1">
        <v>7486000</v>
      </c>
      <c r="S49" s="1">
        <v>4150000</v>
      </c>
      <c r="T49" s="1">
        <v>4402000</v>
      </c>
      <c r="U49" s="1">
        <v>6134000</v>
      </c>
      <c r="V49" s="1">
        <v>6919000</v>
      </c>
    </row>
    <row r="50" spans="1:22" ht="19" x14ac:dyDescent="0.25">
      <c r="A50" s="5" t="s">
        <v>42</v>
      </c>
      <c r="B50" s="1" t="s">
        <v>91</v>
      </c>
      <c r="C50" s="1" t="s">
        <v>91</v>
      </c>
      <c r="D50" s="1" t="s">
        <v>91</v>
      </c>
      <c r="E50" s="1" t="s">
        <v>91</v>
      </c>
      <c r="F50" s="1" t="s">
        <v>91</v>
      </c>
      <c r="G50" s="1">
        <v>624000</v>
      </c>
      <c r="H50" s="1">
        <v>939000</v>
      </c>
      <c r="I50" s="1">
        <v>1917000</v>
      </c>
      <c r="J50" s="1">
        <v>4825000</v>
      </c>
      <c r="K50" s="1">
        <v>2792000</v>
      </c>
      <c r="L50" s="1">
        <v>3459000</v>
      </c>
      <c r="M50" s="1">
        <v>7275000</v>
      </c>
      <c r="N50" s="1">
        <v>6154000</v>
      </c>
      <c r="O50" s="1">
        <v>4497000</v>
      </c>
      <c r="P50" s="1">
        <v>28460000</v>
      </c>
      <c r="Q50" s="1">
        <v>39119000</v>
      </c>
      <c r="R50" s="1">
        <v>25583000</v>
      </c>
      <c r="S50" s="1">
        <v>41126000</v>
      </c>
      <c r="T50" s="1">
        <v>54898000</v>
      </c>
      <c r="U50" s="1">
        <v>63288000</v>
      </c>
      <c r="V50" s="1">
        <v>69929000</v>
      </c>
    </row>
    <row r="51" spans="1:22" ht="19" x14ac:dyDescent="0.25">
      <c r="A51" s="5" t="s">
        <v>43</v>
      </c>
      <c r="B51" s="1" t="s">
        <v>91</v>
      </c>
      <c r="C51" s="1" t="s">
        <v>91</v>
      </c>
      <c r="D51" s="1" t="s">
        <v>91</v>
      </c>
      <c r="E51" s="1">
        <v>156000</v>
      </c>
      <c r="F51" s="1">
        <v>219000</v>
      </c>
      <c r="G51" s="1">
        <v>364000</v>
      </c>
      <c r="H51" s="1">
        <v>17961000</v>
      </c>
      <c r="I51" s="1">
        <v>1885000</v>
      </c>
      <c r="J51" s="1">
        <v>488000</v>
      </c>
      <c r="K51" s="1">
        <v>12580000</v>
      </c>
      <c r="L51" s="1">
        <v>3390000</v>
      </c>
      <c r="M51" s="1">
        <v>3241000</v>
      </c>
      <c r="N51" s="1">
        <v>2104000</v>
      </c>
      <c r="O51" s="1">
        <v>5226000</v>
      </c>
      <c r="P51" s="1">
        <v>7135000</v>
      </c>
      <c r="Q51" s="1">
        <v>9048000</v>
      </c>
      <c r="R51" s="1">
        <v>8927000</v>
      </c>
      <c r="S51" s="1">
        <v>8210000</v>
      </c>
      <c r="T51" s="1">
        <v>9016000</v>
      </c>
      <c r="U51" s="1">
        <v>10523000</v>
      </c>
      <c r="V51" s="1">
        <v>12263000</v>
      </c>
    </row>
    <row r="52" spans="1:22" ht="19" x14ac:dyDescent="0.25">
      <c r="A52" s="5" t="s">
        <v>44</v>
      </c>
      <c r="B52" s="1" t="s">
        <v>91</v>
      </c>
      <c r="C52" s="1" t="s">
        <v>91</v>
      </c>
      <c r="D52" s="1" t="s">
        <v>91</v>
      </c>
      <c r="E52" s="1">
        <v>19233000</v>
      </c>
      <c r="F52" s="1">
        <v>29824000</v>
      </c>
      <c r="G52" s="1">
        <v>32077000</v>
      </c>
      <c r="H52" s="1">
        <v>64502000</v>
      </c>
      <c r="I52" s="1">
        <v>63117000</v>
      </c>
      <c r="J52" s="1">
        <v>73905000</v>
      </c>
      <c r="K52" s="1">
        <v>94998000</v>
      </c>
      <c r="L52" s="1">
        <v>107191000</v>
      </c>
      <c r="M52" s="1">
        <v>109065000</v>
      </c>
      <c r="N52" s="1">
        <v>142244000</v>
      </c>
      <c r="O52" s="1">
        <v>175394000</v>
      </c>
      <c r="P52" s="1">
        <v>227598000</v>
      </c>
      <c r="Q52" s="1">
        <v>253964000</v>
      </c>
      <c r="R52" s="1">
        <v>238627000</v>
      </c>
      <c r="S52" s="1">
        <v>260823000</v>
      </c>
      <c r="T52" s="1">
        <v>325885000</v>
      </c>
      <c r="U52" s="1">
        <v>374705000</v>
      </c>
      <c r="V52" s="1">
        <v>398762000</v>
      </c>
    </row>
    <row r="53" spans="1:22" ht="19" x14ac:dyDescent="0.25">
      <c r="A53" s="5" t="s">
        <v>45</v>
      </c>
      <c r="B53" s="1" t="s">
        <v>91</v>
      </c>
      <c r="C53" s="1">
        <v>40136000</v>
      </c>
      <c r="D53" s="1">
        <v>50796000</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row>
    <row r="54" spans="1:22" ht="20" thickBot="1" x14ac:dyDescent="0.3">
      <c r="A54" s="7" t="s">
        <v>46</v>
      </c>
      <c r="B54" s="11" t="s">
        <v>91</v>
      </c>
      <c r="C54" s="11">
        <v>40136000</v>
      </c>
      <c r="D54" s="11">
        <v>50796000</v>
      </c>
      <c r="E54" s="11">
        <v>89662000</v>
      </c>
      <c r="F54" s="11">
        <v>131001000</v>
      </c>
      <c r="G54" s="11">
        <v>205583000</v>
      </c>
      <c r="H54" s="11">
        <v>264385000</v>
      </c>
      <c r="I54" s="11">
        <v>283135000</v>
      </c>
      <c r="J54" s="11">
        <v>370762000</v>
      </c>
      <c r="K54" s="11">
        <v>464620000</v>
      </c>
      <c r="L54" s="11">
        <v>589103000</v>
      </c>
      <c r="M54" s="11">
        <v>632257000</v>
      </c>
      <c r="N54" s="11">
        <v>796325000</v>
      </c>
      <c r="O54" s="11">
        <v>1089809000</v>
      </c>
      <c r="P54" s="11">
        <v>1165600000</v>
      </c>
      <c r="Q54" s="11">
        <v>1515130000</v>
      </c>
      <c r="R54" s="11">
        <v>1769505000</v>
      </c>
      <c r="S54" s="11">
        <v>1682594000</v>
      </c>
      <c r="T54" s="11">
        <v>1918646000</v>
      </c>
      <c r="U54" s="11">
        <v>2241964000</v>
      </c>
      <c r="V54" s="11">
        <v>3205077000</v>
      </c>
    </row>
    <row r="55" spans="1:22" ht="20" thickTop="1" x14ac:dyDescent="0.25">
      <c r="A55" s="5" t="s">
        <v>47</v>
      </c>
      <c r="B55" s="1" t="s">
        <v>91</v>
      </c>
      <c r="C55" s="1" t="s">
        <v>91</v>
      </c>
      <c r="D55" s="1" t="s">
        <v>91</v>
      </c>
      <c r="E55" s="1">
        <v>37748000</v>
      </c>
      <c r="F55" s="1">
        <v>52019000</v>
      </c>
      <c r="G55" s="1">
        <v>61453000</v>
      </c>
      <c r="H55" s="1">
        <v>80962000</v>
      </c>
      <c r="I55" s="1">
        <v>73532000</v>
      </c>
      <c r="J55" s="1">
        <v>95416000</v>
      </c>
      <c r="K55" s="1">
        <v>113340000</v>
      </c>
      <c r="L55" s="1">
        <v>173991000</v>
      </c>
      <c r="M55" s="1">
        <v>172855000</v>
      </c>
      <c r="N55" s="1">
        <v>219354000</v>
      </c>
      <c r="O55" s="1">
        <v>299774000</v>
      </c>
      <c r="P55" s="1">
        <v>249239000</v>
      </c>
      <c r="Q55" s="1">
        <v>396895000</v>
      </c>
      <c r="R55" s="1">
        <v>527158000</v>
      </c>
      <c r="S55" s="1">
        <v>360470000</v>
      </c>
      <c r="T55" s="1">
        <v>417673000</v>
      </c>
      <c r="U55" s="1">
        <v>612336000</v>
      </c>
      <c r="V55" s="1">
        <v>655403000</v>
      </c>
    </row>
    <row r="56" spans="1:22" ht="19" x14ac:dyDescent="0.25">
      <c r="A56" s="5" t="s">
        <v>48</v>
      </c>
      <c r="B56" s="1" t="s">
        <v>91</v>
      </c>
      <c r="C56" s="1" t="s">
        <v>91</v>
      </c>
      <c r="D56" s="1" t="s">
        <v>91</v>
      </c>
      <c r="E56" s="1" t="s">
        <v>91</v>
      </c>
      <c r="F56" s="1" t="s">
        <v>91</v>
      </c>
      <c r="G56" s="1">
        <v>422000</v>
      </c>
      <c r="H56" s="1">
        <v>377000</v>
      </c>
      <c r="I56" s="1">
        <v>319000</v>
      </c>
      <c r="J56" s="1">
        <v>18553000</v>
      </c>
      <c r="K56" s="1">
        <v>555000</v>
      </c>
      <c r="L56" s="1">
        <v>13362000</v>
      </c>
      <c r="M56" s="1">
        <v>28638000</v>
      </c>
      <c r="N56" s="1">
        <v>42554000</v>
      </c>
      <c r="O56" s="1">
        <v>93479000</v>
      </c>
      <c r="P56" s="1">
        <v>53589000</v>
      </c>
      <c r="Q56" s="1">
        <v>161447000</v>
      </c>
      <c r="R56" s="1">
        <v>116181000</v>
      </c>
      <c r="S56" s="1">
        <v>23647000</v>
      </c>
      <c r="T56" s="1">
        <v>23704000</v>
      </c>
      <c r="U56" s="1">
        <v>69812000</v>
      </c>
      <c r="V56" s="1">
        <v>456285000</v>
      </c>
    </row>
    <row r="57" spans="1:22"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v>12741000</v>
      </c>
      <c r="V57" s="1">
        <v>41743000</v>
      </c>
    </row>
    <row r="58" spans="1:22" ht="19" x14ac:dyDescent="0.25">
      <c r="A58" s="5" t="s">
        <v>50</v>
      </c>
      <c r="B58" s="1" t="s">
        <v>91</v>
      </c>
      <c r="C58" s="1" t="s">
        <v>91</v>
      </c>
      <c r="D58" s="1" t="s">
        <v>91</v>
      </c>
      <c r="E58" s="1" t="s">
        <v>91</v>
      </c>
      <c r="F58" s="1" t="s">
        <v>91</v>
      </c>
      <c r="G58" s="1" t="s">
        <v>91</v>
      </c>
      <c r="H58" s="1" t="s">
        <v>91</v>
      </c>
      <c r="I58" s="1">
        <v>1220000</v>
      </c>
      <c r="J58" s="1" t="s">
        <v>91</v>
      </c>
      <c r="K58" s="1">
        <v>1000000</v>
      </c>
      <c r="L58" s="1" t="s">
        <v>91</v>
      </c>
      <c r="M58" s="1">
        <v>4134000</v>
      </c>
      <c r="N58" s="1">
        <v>4185000</v>
      </c>
      <c r="O58" s="1">
        <v>10399000</v>
      </c>
      <c r="P58" s="1">
        <v>19683000</v>
      </c>
      <c r="Q58" s="1">
        <v>47587000</v>
      </c>
      <c r="R58" s="1">
        <v>102241000</v>
      </c>
      <c r="S58" s="1">
        <v>130594000</v>
      </c>
      <c r="T58" s="1">
        <v>152348000</v>
      </c>
      <c r="U58" s="1">
        <v>179217000</v>
      </c>
      <c r="V58" s="1">
        <v>182859000</v>
      </c>
    </row>
    <row r="59" spans="1:22" ht="19" x14ac:dyDescent="0.25">
      <c r="A59" s="5" t="s">
        <v>51</v>
      </c>
      <c r="B59" s="1" t="s">
        <v>91</v>
      </c>
      <c r="C59" s="1" t="s">
        <v>91</v>
      </c>
      <c r="D59" s="1" t="s">
        <v>91</v>
      </c>
      <c r="E59" s="1">
        <v>9759000</v>
      </c>
      <c r="F59" s="1">
        <v>12132000</v>
      </c>
      <c r="G59" s="1">
        <v>16545000</v>
      </c>
      <c r="H59" s="1">
        <v>16152000</v>
      </c>
      <c r="I59" s="1">
        <v>13960000</v>
      </c>
      <c r="J59" s="1">
        <v>23906000</v>
      </c>
      <c r="K59" s="1">
        <v>25752000</v>
      </c>
      <c r="L59" s="1">
        <v>33155000</v>
      </c>
      <c r="M59" s="1">
        <v>36037000</v>
      </c>
      <c r="N59" s="1">
        <v>44793000</v>
      </c>
      <c r="O59" s="1">
        <v>50455000</v>
      </c>
      <c r="P59" s="1">
        <v>41107000</v>
      </c>
      <c r="Q59" s="1">
        <v>66601000</v>
      </c>
      <c r="R59" s="1">
        <v>65977000</v>
      </c>
      <c r="S59" s="1">
        <v>91258000</v>
      </c>
      <c r="T59" s="1">
        <v>113910000</v>
      </c>
      <c r="U59" s="1">
        <v>94790000</v>
      </c>
      <c r="V59" s="1">
        <v>133734000</v>
      </c>
    </row>
    <row r="60" spans="1:22" ht="19" x14ac:dyDescent="0.25">
      <c r="A60" s="6" t="s">
        <v>52</v>
      </c>
      <c r="B60" s="10" t="s">
        <v>91</v>
      </c>
      <c r="C60" s="10" t="s">
        <v>91</v>
      </c>
      <c r="D60" s="10" t="s">
        <v>91</v>
      </c>
      <c r="E60" s="10">
        <v>47507000</v>
      </c>
      <c r="F60" s="10">
        <v>64151000</v>
      </c>
      <c r="G60" s="10">
        <v>78420000</v>
      </c>
      <c r="H60" s="10">
        <v>97491000</v>
      </c>
      <c r="I60" s="10">
        <v>89031000</v>
      </c>
      <c r="J60" s="10">
        <v>137875000</v>
      </c>
      <c r="K60" s="10">
        <v>140647000</v>
      </c>
      <c r="L60" s="10">
        <v>220508000</v>
      </c>
      <c r="M60" s="10">
        <v>241664000</v>
      </c>
      <c r="N60" s="10">
        <v>310886000</v>
      </c>
      <c r="O60" s="10">
        <v>454107000</v>
      </c>
      <c r="P60" s="10">
        <v>363618000</v>
      </c>
      <c r="Q60" s="10">
        <v>672530000</v>
      </c>
      <c r="R60" s="10">
        <v>811557000</v>
      </c>
      <c r="S60" s="10">
        <v>605969000</v>
      </c>
      <c r="T60" s="10">
        <v>707635000</v>
      </c>
      <c r="U60" s="10">
        <v>968896000</v>
      </c>
      <c r="V60" s="10">
        <v>1470024000</v>
      </c>
    </row>
    <row r="61" spans="1:22" ht="19" x14ac:dyDescent="0.25">
      <c r="A61" s="5" t="s">
        <v>53</v>
      </c>
      <c r="B61" s="1" t="s">
        <v>91</v>
      </c>
      <c r="C61" s="1">
        <v>9506000</v>
      </c>
      <c r="D61" s="1">
        <v>9108000</v>
      </c>
      <c r="E61" s="1">
        <v>12515000</v>
      </c>
      <c r="F61" s="1">
        <v>18621000</v>
      </c>
      <c r="G61" s="1">
        <v>11251000</v>
      </c>
      <c r="H61" s="1">
        <v>9981000</v>
      </c>
      <c r="I61" s="1">
        <v>9675000</v>
      </c>
      <c r="J61" s="1" t="s">
        <v>91</v>
      </c>
      <c r="K61" s="1">
        <v>27596000</v>
      </c>
      <c r="L61" s="1">
        <v>19395000</v>
      </c>
      <c r="M61" s="1">
        <v>6533000</v>
      </c>
      <c r="N61" s="1">
        <v>3733000</v>
      </c>
      <c r="O61" s="1">
        <v>933000</v>
      </c>
      <c r="P61" s="1">
        <v>40000000</v>
      </c>
      <c r="Q61" s="1">
        <v>92927000</v>
      </c>
      <c r="R61" s="1" t="s">
        <v>91</v>
      </c>
      <c r="S61" s="1" t="s">
        <v>91</v>
      </c>
      <c r="T61" s="1">
        <v>5697000</v>
      </c>
      <c r="U61" s="1">
        <v>49239000</v>
      </c>
      <c r="V61" s="1">
        <v>164279000</v>
      </c>
    </row>
    <row r="62" spans="1:22"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v>21940000</v>
      </c>
      <c r="Q62" s="1">
        <v>47548000</v>
      </c>
      <c r="R62" s="1">
        <v>89731000</v>
      </c>
      <c r="S62" s="1">
        <v>109266000</v>
      </c>
      <c r="T62" s="1">
        <v>97612000</v>
      </c>
      <c r="U62" s="1">
        <v>100838000</v>
      </c>
      <c r="V62" s="1">
        <v>122548000</v>
      </c>
    </row>
    <row r="63" spans="1:22" ht="19" x14ac:dyDescent="0.25">
      <c r="A63" s="5" t="s">
        <v>54</v>
      </c>
      <c r="B63" s="1" t="s">
        <v>91</v>
      </c>
      <c r="C63" s="1" t="s">
        <v>91</v>
      </c>
      <c r="D63" s="1" t="s">
        <v>91</v>
      </c>
      <c r="E63" s="1">
        <v>456000</v>
      </c>
      <c r="F63" s="1">
        <v>398000</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row>
    <row r="64" spans="1:22" ht="19" x14ac:dyDescent="0.25">
      <c r="A64" s="5" t="s">
        <v>55</v>
      </c>
      <c r="B64" s="1" t="s">
        <v>91</v>
      </c>
      <c r="C64" s="1" t="s">
        <v>91</v>
      </c>
      <c r="D64" s="1" t="s">
        <v>91</v>
      </c>
      <c r="E64" s="1">
        <v>57000</v>
      </c>
      <c r="F64" s="1">
        <v>64000</v>
      </c>
      <c r="G64" s="1">
        <v>40000</v>
      </c>
      <c r="H64" s="1">
        <v>5042000</v>
      </c>
      <c r="I64" s="1">
        <v>5807000</v>
      </c>
      <c r="J64" s="1">
        <v>8186000</v>
      </c>
      <c r="K64" s="1">
        <v>9120000</v>
      </c>
      <c r="L64" s="1">
        <v>10849000</v>
      </c>
      <c r="M64" s="1">
        <v>10336000</v>
      </c>
      <c r="N64" s="1">
        <v>12475000</v>
      </c>
      <c r="O64" s="1">
        <v>15684000</v>
      </c>
      <c r="P64" s="1">
        <v>18663000</v>
      </c>
      <c r="Q64" s="1">
        <v>-71721000</v>
      </c>
      <c r="R64" s="1">
        <v>24565000</v>
      </c>
      <c r="S64" s="1">
        <v>26183000</v>
      </c>
      <c r="T64" s="1">
        <v>41995000</v>
      </c>
      <c r="U64" s="1">
        <v>26593000</v>
      </c>
      <c r="V64" s="1">
        <v>22479000</v>
      </c>
    </row>
    <row r="65" spans="1:22" ht="19" x14ac:dyDescent="0.25">
      <c r="A65" s="5" t="s">
        <v>56</v>
      </c>
      <c r="B65" s="1" t="s">
        <v>91</v>
      </c>
      <c r="C65" s="1">
        <v>9506000</v>
      </c>
      <c r="D65" s="1">
        <v>9108000</v>
      </c>
      <c r="E65" s="1">
        <v>13028000</v>
      </c>
      <c r="F65" s="1">
        <v>19083000</v>
      </c>
      <c r="G65" s="1">
        <v>11291000</v>
      </c>
      <c r="H65" s="1">
        <v>15023000</v>
      </c>
      <c r="I65" s="1">
        <v>15482000</v>
      </c>
      <c r="J65" s="1">
        <v>8186000</v>
      </c>
      <c r="K65" s="1">
        <v>36716000</v>
      </c>
      <c r="L65" s="1">
        <v>30244000</v>
      </c>
      <c r="M65" s="1">
        <v>16869000</v>
      </c>
      <c r="N65" s="1">
        <v>16208000</v>
      </c>
      <c r="O65" s="1">
        <v>16617000</v>
      </c>
      <c r="P65" s="1">
        <v>80603000</v>
      </c>
      <c r="Q65" s="1">
        <v>68754000</v>
      </c>
      <c r="R65" s="1">
        <v>114296000</v>
      </c>
      <c r="S65" s="1">
        <v>135449000</v>
      </c>
      <c r="T65" s="1">
        <v>145304000</v>
      </c>
      <c r="U65" s="1">
        <v>176670000</v>
      </c>
      <c r="V65" s="1">
        <v>309306000</v>
      </c>
    </row>
    <row r="66" spans="1:22" ht="19" x14ac:dyDescent="0.25">
      <c r="A66" s="5" t="s">
        <v>57</v>
      </c>
      <c r="B66" s="1" t="s">
        <v>91</v>
      </c>
      <c r="C66" s="1">
        <v>17776000</v>
      </c>
      <c r="D66" s="1">
        <v>25270000</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row>
    <row r="67" spans="1:22" ht="19" x14ac:dyDescent="0.25">
      <c r="A67" s="6" t="s">
        <v>58</v>
      </c>
      <c r="B67" s="10" t="s">
        <v>91</v>
      </c>
      <c r="C67" s="10">
        <v>27282000</v>
      </c>
      <c r="D67" s="10">
        <v>34378000</v>
      </c>
      <c r="E67" s="10">
        <v>60535000</v>
      </c>
      <c r="F67" s="10">
        <v>83234000</v>
      </c>
      <c r="G67" s="10">
        <v>89711000</v>
      </c>
      <c r="H67" s="10">
        <v>112514000</v>
      </c>
      <c r="I67" s="10">
        <v>104513000</v>
      </c>
      <c r="J67" s="10">
        <v>146061000</v>
      </c>
      <c r="K67" s="10">
        <v>177363000</v>
      </c>
      <c r="L67" s="10">
        <v>250752000</v>
      </c>
      <c r="M67" s="10">
        <v>258533000</v>
      </c>
      <c r="N67" s="10">
        <v>327094000</v>
      </c>
      <c r="O67" s="10">
        <v>470724000</v>
      </c>
      <c r="P67" s="10">
        <v>444221000</v>
      </c>
      <c r="Q67" s="10">
        <v>741284000</v>
      </c>
      <c r="R67" s="10">
        <v>925853000</v>
      </c>
      <c r="S67" s="10">
        <v>741418000</v>
      </c>
      <c r="T67" s="10">
        <v>852939000</v>
      </c>
      <c r="U67" s="10">
        <v>1145566000</v>
      </c>
      <c r="V67" s="10">
        <v>1779330000</v>
      </c>
    </row>
    <row r="68" spans="1:22" ht="19" x14ac:dyDescent="0.25">
      <c r="A68" s="5" t="s">
        <v>59</v>
      </c>
      <c r="B68" s="1" t="s">
        <v>91</v>
      </c>
      <c r="C68" s="1" t="s">
        <v>91</v>
      </c>
      <c r="D68" s="1" t="s">
        <v>91</v>
      </c>
      <c r="E68" s="1" t="s">
        <v>91</v>
      </c>
      <c r="F68" s="1" t="s">
        <v>91</v>
      </c>
      <c r="G68" s="1" t="s">
        <v>91</v>
      </c>
      <c r="H68" s="1" t="s">
        <v>91</v>
      </c>
      <c r="I68" s="1">
        <v>81893000</v>
      </c>
      <c r="J68" s="1">
        <v>100350000</v>
      </c>
      <c r="K68" s="1">
        <v>122693000</v>
      </c>
      <c r="L68" s="1">
        <v>143806000</v>
      </c>
      <c r="M68" s="1">
        <v>157712000</v>
      </c>
      <c r="N68" s="1">
        <v>199062000</v>
      </c>
      <c r="O68" s="1">
        <v>247081000</v>
      </c>
      <c r="P68" s="1">
        <v>277339000</v>
      </c>
      <c r="Q68" s="1">
        <v>308271000</v>
      </c>
      <c r="R68" s="1">
        <v>331550000</v>
      </c>
      <c r="S68" s="1">
        <v>349683000</v>
      </c>
      <c r="T68" s="1">
        <v>389972000</v>
      </c>
      <c r="U68" s="1">
        <v>438012000</v>
      </c>
      <c r="V68" s="1">
        <v>481741000</v>
      </c>
    </row>
    <row r="69" spans="1:22" ht="19" x14ac:dyDescent="0.25">
      <c r="A69" s="5" t="s">
        <v>60</v>
      </c>
      <c r="B69" s="1" t="s">
        <v>91</v>
      </c>
      <c r="C69" s="1" t="s">
        <v>91</v>
      </c>
      <c r="D69" s="1" t="s">
        <v>91</v>
      </c>
      <c r="E69" s="1">
        <v>22847000</v>
      </c>
      <c r="F69" s="1">
        <v>39794000</v>
      </c>
      <c r="G69" s="1">
        <v>59133000</v>
      </c>
      <c r="H69" s="1">
        <v>83563000</v>
      </c>
      <c r="I69" s="1">
        <v>99670000</v>
      </c>
      <c r="J69" s="1">
        <v>126585000</v>
      </c>
      <c r="K69" s="1">
        <v>166798000</v>
      </c>
      <c r="L69" s="1">
        <v>196651000</v>
      </c>
      <c r="M69" s="1">
        <v>217930000</v>
      </c>
      <c r="N69" s="1">
        <v>272087000</v>
      </c>
      <c r="O69" s="1">
        <v>373950000</v>
      </c>
      <c r="P69" s="1">
        <v>445971000</v>
      </c>
      <c r="Q69" s="1">
        <v>485973000</v>
      </c>
      <c r="R69" s="1">
        <v>532271000</v>
      </c>
      <c r="S69" s="1">
        <v>611903000</v>
      </c>
      <c r="T69" s="1">
        <v>696211000</v>
      </c>
      <c r="U69" s="1">
        <v>657760000</v>
      </c>
      <c r="V69" s="1">
        <v>942923000</v>
      </c>
    </row>
    <row r="70" spans="1:22" ht="19" x14ac:dyDescent="0.25">
      <c r="A70" s="5" t="s">
        <v>61</v>
      </c>
      <c r="B70" s="1" t="s">
        <v>91</v>
      </c>
      <c r="C70" s="1" t="s">
        <v>91</v>
      </c>
      <c r="D70" s="1" t="s">
        <v>91</v>
      </c>
      <c r="E70" s="1">
        <v>-2781000</v>
      </c>
      <c r="F70" s="1">
        <v>-3760000</v>
      </c>
      <c r="G70" s="1">
        <v>-5272000</v>
      </c>
      <c r="H70" s="1">
        <v>-7628000</v>
      </c>
      <c r="I70" s="1">
        <v>-1000000</v>
      </c>
      <c r="J70" s="1">
        <v>-15153000</v>
      </c>
      <c r="K70" s="1">
        <v>-20280000</v>
      </c>
      <c r="L70" s="1">
        <v>-26925000</v>
      </c>
      <c r="M70" s="1">
        <v>-34376000</v>
      </c>
      <c r="N70" s="1">
        <v>-39990000</v>
      </c>
      <c r="O70" s="1">
        <v>-46798000</v>
      </c>
      <c r="P70" s="1">
        <v>-59012000</v>
      </c>
      <c r="Q70" s="1">
        <v>-74087000</v>
      </c>
      <c r="R70" s="1">
        <v>-92594000</v>
      </c>
      <c r="S70" s="1">
        <v>-108775000</v>
      </c>
      <c r="T70" s="1">
        <v>-126746000</v>
      </c>
      <c r="U70" s="1">
        <v>453000</v>
      </c>
      <c r="V70" s="1">
        <v>911000</v>
      </c>
    </row>
    <row r="71" spans="1:22" ht="19" x14ac:dyDescent="0.25">
      <c r="A71" s="5" t="s">
        <v>62</v>
      </c>
      <c r="B71" s="1" t="s">
        <v>91</v>
      </c>
      <c r="C71" s="1">
        <v>12854000</v>
      </c>
      <c r="D71" s="1">
        <v>16418000</v>
      </c>
      <c r="E71" s="1">
        <v>9061000</v>
      </c>
      <c r="F71" s="1">
        <v>11733000</v>
      </c>
      <c r="G71" s="1">
        <v>62011000</v>
      </c>
      <c r="H71" s="1">
        <v>75936000</v>
      </c>
      <c r="I71" s="1">
        <v>-1941000</v>
      </c>
      <c r="J71" s="1">
        <v>12919000</v>
      </c>
      <c r="K71" s="1">
        <v>18046000</v>
      </c>
      <c r="L71" s="1">
        <v>24819000</v>
      </c>
      <c r="M71" s="1">
        <v>32277000</v>
      </c>
      <c r="N71" s="1">
        <v>37897000</v>
      </c>
      <c r="O71" s="1">
        <v>44688000</v>
      </c>
      <c r="P71" s="1">
        <v>56897000</v>
      </c>
      <c r="Q71" s="1">
        <v>53519000</v>
      </c>
      <c r="R71" s="1">
        <v>72268000</v>
      </c>
      <c r="S71" s="1">
        <v>88204000</v>
      </c>
      <c r="T71" s="1">
        <v>106103000</v>
      </c>
      <c r="U71" s="1" t="s">
        <v>91</v>
      </c>
      <c r="V71" s="1" t="s">
        <v>91</v>
      </c>
    </row>
    <row r="72" spans="1:22" ht="19" x14ac:dyDescent="0.25">
      <c r="A72" s="6" t="s">
        <v>63</v>
      </c>
      <c r="B72" s="10" t="s">
        <v>91</v>
      </c>
      <c r="C72" s="10">
        <v>12854000</v>
      </c>
      <c r="D72" s="10">
        <v>16418000</v>
      </c>
      <c r="E72" s="10">
        <v>29127000</v>
      </c>
      <c r="F72" s="10">
        <v>47767000</v>
      </c>
      <c r="G72" s="10">
        <v>115872000</v>
      </c>
      <c r="H72" s="10">
        <v>151871000</v>
      </c>
      <c r="I72" s="10">
        <v>178622000</v>
      </c>
      <c r="J72" s="10">
        <v>224701000</v>
      </c>
      <c r="K72" s="10">
        <v>287257000</v>
      </c>
      <c r="L72" s="10">
        <v>338351000</v>
      </c>
      <c r="M72" s="10">
        <v>373543000</v>
      </c>
      <c r="N72" s="10">
        <v>469056000</v>
      </c>
      <c r="O72" s="10">
        <v>618921000</v>
      </c>
      <c r="P72" s="10">
        <v>721195000</v>
      </c>
      <c r="Q72" s="10">
        <v>773676000</v>
      </c>
      <c r="R72" s="10">
        <v>843495000</v>
      </c>
      <c r="S72" s="10">
        <v>941015000</v>
      </c>
      <c r="T72" s="10">
        <v>1065540000</v>
      </c>
      <c r="U72" s="10">
        <v>1096225000</v>
      </c>
      <c r="V72" s="10">
        <v>1425575000</v>
      </c>
    </row>
    <row r="73" spans="1:22" ht="20" thickBot="1" x14ac:dyDescent="0.3">
      <c r="A73" s="7" t="s">
        <v>64</v>
      </c>
      <c r="B73" s="11" t="s">
        <v>91</v>
      </c>
      <c r="C73" s="11">
        <v>40136000</v>
      </c>
      <c r="D73" s="11">
        <v>50796000</v>
      </c>
      <c r="E73" s="11">
        <v>89662000</v>
      </c>
      <c r="F73" s="11">
        <v>131001000</v>
      </c>
      <c r="G73" s="11">
        <v>205583000</v>
      </c>
      <c r="H73" s="11">
        <v>264385000</v>
      </c>
      <c r="I73" s="11">
        <v>283135000</v>
      </c>
      <c r="J73" s="11">
        <v>370762000</v>
      </c>
      <c r="K73" s="11">
        <v>464620000</v>
      </c>
      <c r="L73" s="11">
        <v>589103000</v>
      </c>
      <c r="M73" s="11">
        <v>632076000</v>
      </c>
      <c r="N73" s="11">
        <v>796150000</v>
      </c>
      <c r="O73" s="11">
        <v>1089645000</v>
      </c>
      <c r="P73" s="11">
        <v>1165416000</v>
      </c>
      <c r="Q73" s="11">
        <v>1514960000</v>
      </c>
      <c r="R73" s="11">
        <v>1769348000</v>
      </c>
      <c r="S73" s="11">
        <v>1682433000</v>
      </c>
      <c r="T73" s="11">
        <v>1918479000</v>
      </c>
      <c r="U73" s="11">
        <v>2241791000</v>
      </c>
      <c r="V73" s="11">
        <v>3204905000</v>
      </c>
    </row>
    <row r="74" spans="1:22"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row>
    <row r="75" spans="1:22"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row>
    <row r="76" spans="1:22" ht="19" x14ac:dyDescent="0.25">
      <c r="A76" s="5" t="s">
        <v>66</v>
      </c>
      <c r="B76" s="1" t="s">
        <v>91</v>
      </c>
      <c r="C76" s="1" t="s">
        <v>91</v>
      </c>
      <c r="D76" s="1">
        <v>7090000</v>
      </c>
      <c r="E76" s="1">
        <v>16947000</v>
      </c>
      <c r="F76" s="1">
        <v>19339000</v>
      </c>
      <c r="G76" s="1">
        <v>25419000</v>
      </c>
      <c r="H76" s="1">
        <v>16107000</v>
      </c>
      <c r="I76" s="1">
        <v>26915000</v>
      </c>
      <c r="J76" s="1">
        <v>40213000</v>
      </c>
      <c r="K76" s="1">
        <v>29853000</v>
      </c>
      <c r="L76" s="1">
        <v>21279000</v>
      </c>
      <c r="M76" s="1">
        <v>54157000</v>
      </c>
      <c r="N76" s="1">
        <v>101863000</v>
      </c>
      <c r="O76" s="1">
        <v>72021000</v>
      </c>
      <c r="P76" s="1">
        <v>66854000</v>
      </c>
      <c r="Q76" s="1">
        <v>46165000</v>
      </c>
      <c r="R76" s="1">
        <v>71918000</v>
      </c>
      <c r="S76" s="1">
        <v>84308000</v>
      </c>
      <c r="T76" s="1">
        <v>111865000</v>
      </c>
      <c r="U76" s="1">
        <v>63269000</v>
      </c>
      <c r="V76" s="1">
        <v>285163000</v>
      </c>
    </row>
    <row r="77" spans="1:22" ht="19" x14ac:dyDescent="0.25">
      <c r="A77" s="5" t="s">
        <v>13</v>
      </c>
      <c r="B77" s="1" t="s">
        <v>91</v>
      </c>
      <c r="C77" s="1" t="s">
        <v>91</v>
      </c>
      <c r="D77" s="1">
        <v>922000</v>
      </c>
      <c r="E77" s="1">
        <v>1214000</v>
      </c>
      <c r="F77" s="1">
        <v>1640000</v>
      </c>
      <c r="G77" s="1">
        <v>2664000</v>
      </c>
      <c r="H77" s="1">
        <v>3653000</v>
      </c>
      <c r="I77" s="1">
        <v>4619000</v>
      </c>
      <c r="J77" s="1">
        <v>5453000</v>
      </c>
      <c r="K77" s="1">
        <v>7071000</v>
      </c>
      <c r="L77" s="1">
        <v>7835000</v>
      </c>
      <c r="M77" s="1">
        <v>6364000</v>
      </c>
      <c r="N77" s="1">
        <v>8133000</v>
      </c>
      <c r="O77" s="1">
        <v>13282000</v>
      </c>
      <c r="P77" s="1">
        <v>16357000</v>
      </c>
      <c r="Q77" s="1">
        <v>21846000</v>
      </c>
      <c r="R77" s="1">
        <v>24202000</v>
      </c>
      <c r="S77" s="1">
        <v>28472000</v>
      </c>
      <c r="T77" s="1">
        <v>28185000</v>
      </c>
      <c r="U77" s="1">
        <v>28185000</v>
      </c>
      <c r="V77" s="1">
        <v>32471000</v>
      </c>
    </row>
    <row r="78" spans="1:22" ht="19" x14ac:dyDescent="0.25">
      <c r="A78" s="5" t="s">
        <v>67</v>
      </c>
      <c r="B78" s="1" t="s">
        <v>91</v>
      </c>
      <c r="C78" s="1" t="s">
        <v>91</v>
      </c>
      <c r="D78" s="1">
        <v>133000</v>
      </c>
      <c r="E78" s="1">
        <v>-806000</v>
      </c>
      <c r="F78" s="1">
        <v>-3212000</v>
      </c>
      <c r="G78" s="1">
        <v>-3047000</v>
      </c>
      <c r="H78" s="1">
        <v>-1002000</v>
      </c>
      <c r="I78" s="1">
        <v>-4407000</v>
      </c>
      <c r="J78" s="1">
        <v>1539000</v>
      </c>
      <c r="K78" s="1">
        <v>-3137000</v>
      </c>
      <c r="L78" s="1">
        <v>-7010000</v>
      </c>
      <c r="M78" s="1">
        <v>65000</v>
      </c>
      <c r="N78" s="1">
        <v>632000</v>
      </c>
      <c r="O78" s="1">
        <v>-6133000</v>
      </c>
      <c r="P78" s="1">
        <v>-5434000</v>
      </c>
      <c r="Q78" s="1">
        <v>13570000</v>
      </c>
      <c r="R78" s="1">
        <v>-17100000</v>
      </c>
      <c r="S78" s="1">
        <v>-13772000</v>
      </c>
      <c r="T78" s="1">
        <v>-8390000</v>
      </c>
      <c r="U78" s="1">
        <v>63269000</v>
      </c>
      <c r="V78" s="1">
        <v>-6817000</v>
      </c>
    </row>
    <row r="79" spans="1:22" ht="19" x14ac:dyDescent="0.25">
      <c r="A79" s="5" t="s">
        <v>68</v>
      </c>
      <c r="B79" s="1" t="s">
        <v>91</v>
      </c>
      <c r="C79" s="1" t="s">
        <v>91</v>
      </c>
      <c r="D79" s="1" t="s">
        <v>91</v>
      </c>
      <c r="E79" s="1" t="s">
        <v>91</v>
      </c>
      <c r="F79" s="1" t="s">
        <v>91</v>
      </c>
      <c r="G79" s="1" t="s">
        <v>91</v>
      </c>
      <c r="H79" s="1">
        <v>5661000</v>
      </c>
      <c r="I79" s="1">
        <v>6457000</v>
      </c>
      <c r="J79" s="1">
        <v>8056000</v>
      </c>
      <c r="K79" s="1">
        <v>10252000</v>
      </c>
      <c r="L79" s="1">
        <v>11361000</v>
      </c>
      <c r="M79" s="1">
        <v>11062000</v>
      </c>
      <c r="N79" s="1">
        <v>13699000</v>
      </c>
      <c r="O79" s="1">
        <v>16131000</v>
      </c>
      <c r="P79" s="1">
        <v>19665000</v>
      </c>
      <c r="Q79" s="1">
        <v>24656000</v>
      </c>
      <c r="R79" s="1">
        <v>21184000</v>
      </c>
      <c r="S79" s="1">
        <v>20189000</v>
      </c>
      <c r="T79" s="1">
        <v>28549000</v>
      </c>
      <c r="U79" s="1" t="s">
        <v>91</v>
      </c>
      <c r="V79" s="1">
        <v>32816000</v>
      </c>
    </row>
    <row r="80" spans="1:22" ht="19" x14ac:dyDescent="0.25">
      <c r="A80" s="14" t="s">
        <v>103</v>
      </c>
      <c r="B80" s="15" t="e">
        <f t="shared" ref="B80:V80" si="19">B79/B3</f>
        <v>#VALUE!</v>
      </c>
      <c r="C80" s="15" t="e">
        <f t="shared" si="19"/>
        <v>#VALUE!</v>
      </c>
      <c r="D80" s="15" t="e">
        <f t="shared" si="19"/>
        <v>#VALUE!</v>
      </c>
      <c r="E80" s="15" t="e">
        <f t="shared" si="19"/>
        <v>#VALUE!</v>
      </c>
      <c r="F80" s="15" t="e">
        <f t="shared" si="19"/>
        <v>#VALUE!</v>
      </c>
      <c r="G80" s="15" t="e">
        <f t="shared" si="19"/>
        <v>#VALUE!</v>
      </c>
      <c r="H80" s="15">
        <f t="shared" si="19"/>
        <v>1.0473577389949732E-2</v>
      </c>
      <c r="I80" s="15">
        <f t="shared" si="19"/>
        <v>1.2770737862656718E-2</v>
      </c>
      <c r="J80" s="15">
        <f t="shared" si="19"/>
        <v>1.1166586733717936E-2</v>
      </c>
      <c r="K80" s="15">
        <f t="shared" si="19"/>
        <v>1.087650729591696E-2</v>
      </c>
      <c r="L80" s="15">
        <f t="shared" si="19"/>
        <v>1.1205534415519088E-2</v>
      </c>
      <c r="M80" s="15">
        <f t="shared" si="19"/>
        <v>9.5151996325354114E-3</v>
      </c>
      <c r="N80" s="15">
        <f t="shared" si="19"/>
        <v>9.3368193336704833E-3</v>
      </c>
      <c r="O80" s="15">
        <f t="shared" si="19"/>
        <v>8.1013281236267387E-3</v>
      </c>
      <c r="P80" s="15">
        <f t="shared" si="19"/>
        <v>8.8758077481536374E-3</v>
      </c>
      <c r="Q80" s="15">
        <f t="shared" si="19"/>
        <v>9.9222150813966913E-3</v>
      </c>
      <c r="R80" s="15">
        <f t="shared" si="19"/>
        <v>6.3038388426456598E-3</v>
      </c>
      <c r="S80" s="15">
        <f t="shared" si="19"/>
        <v>5.7676924659177909E-3</v>
      </c>
      <c r="T80" s="15">
        <f t="shared" si="19"/>
        <v>8.5494452248852364E-3</v>
      </c>
      <c r="U80" s="15" t="e">
        <f t="shared" si="19"/>
        <v>#VALUE!</v>
      </c>
      <c r="V80" s="15">
        <f t="shared" si="19"/>
        <v>6.3155070755965192E-3</v>
      </c>
    </row>
    <row r="81" spans="1:30" ht="19" x14ac:dyDescent="0.25">
      <c r="A81" s="5" t="s">
        <v>69</v>
      </c>
      <c r="B81" s="1" t="s">
        <v>91</v>
      </c>
      <c r="C81" s="1" t="s">
        <v>91</v>
      </c>
      <c r="D81" s="1">
        <v>-8066000</v>
      </c>
      <c r="E81" s="1">
        <v>-12751000</v>
      </c>
      <c r="F81" s="1">
        <v>-9779000</v>
      </c>
      <c r="G81" s="1">
        <v>-23534000</v>
      </c>
      <c r="H81" s="1">
        <v>-8646000</v>
      </c>
      <c r="I81" s="1">
        <v>-43032000</v>
      </c>
      <c r="J81" s="1">
        <v>-54891000</v>
      </c>
      <c r="K81" s="1">
        <v>-34321000</v>
      </c>
      <c r="L81" s="1">
        <v>-29518000</v>
      </c>
      <c r="M81" s="1">
        <v>-65752000</v>
      </c>
      <c r="N81" s="1">
        <v>-166453000</v>
      </c>
      <c r="O81" s="1">
        <v>5705000</v>
      </c>
      <c r="P81" s="1">
        <v>-208960000</v>
      </c>
      <c r="Q81" s="1">
        <v>-36130000</v>
      </c>
      <c r="R81" s="1">
        <v>116544000</v>
      </c>
      <c r="S81" s="1">
        <v>-164793000</v>
      </c>
      <c r="T81" s="1">
        <v>-44504000</v>
      </c>
      <c r="U81" s="1">
        <v>-44504000</v>
      </c>
      <c r="V81" s="1">
        <v>-784099000</v>
      </c>
    </row>
    <row r="82" spans="1:30" ht="19" x14ac:dyDescent="0.25">
      <c r="A82" s="5" t="s">
        <v>70</v>
      </c>
      <c r="B82" s="1" t="s">
        <v>91</v>
      </c>
      <c r="C82" s="1" t="s">
        <v>91</v>
      </c>
      <c r="D82" s="1" t="s">
        <v>91</v>
      </c>
      <c r="E82" s="1" t="s">
        <v>91</v>
      </c>
      <c r="F82" s="1" t="s">
        <v>91</v>
      </c>
      <c r="G82" s="1" t="s">
        <v>91</v>
      </c>
      <c r="H82" s="1">
        <v>-755000</v>
      </c>
      <c r="I82" s="1">
        <v>-11496000</v>
      </c>
      <c r="J82" s="1">
        <v>-19165000</v>
      </c>
      <c r="K82" s="1">
        <v>-17226000</v>
      </c>
      <c r="L82" s="1">
        <v>-48255000</v>
      </c>
      <c r="M82" s="1">
        <v>-64874000</v>
      </c>
      <c r="N82" s="1">
        <v>-110182000</v>
      </c>
      <c r="O82" s="1">
        <v>32375000</v>
      </c>
      <c r="P82" s="1">
        <v>-149455000</v>
      </c>
      <c r="Q82" s="1">
        <v>-127082000</v>
      </c>
      <c r="R82" s="1">
        <v>85027000</v>
      </c>
      <c r="S82" s="1">
        <v>-7023000</v>
      </c>
      <c r="T82" s="1">
        <v>-59325000</v>
      </c>
      <c r="U82" s="1">
        <v>458076000</v>
      </c>
      <c r="V82" s="1">
        <v>-371598000</v>
      </c>
    </row>
    <row r="83" spans="1:30" ht="21" x14ac:dyDescent="0.25">
      <c r="A83" s="5" t="s">
        <v>34</v>
      </c>
      <c r="B83" s="1" t="s">
        <v>91</v>
      </c>
      <c r="C83" s="1" t="s">
        <v>91</v>
      </c>
      <c r="D83" s="1">
        <v>-8904000</v>
      </c>
      <c r="E83" s="1">
        <v>-17087000</v>
      </c>
      <c r="F83" s="1">
        <v>-9160000</v>
      </c>
      <c r="G83" s="1">
        <v>-25761000</v>
      </c>
      <c r="H83" s="1">
        <v>-5820000</v>
      </c>
      <c r="I83" s="1">
        <v>-48154000</v>
      </c>
      <c r="J83" s="1">
        <v>-60480000</v>
      </c>
      <c r="K83" s="1">
        <v>-92467000</v>
      </c>
      <c r="L83" s="1">
        <v>12704000</v>
      </c>
      <c r="M83" s="1">
        <v>-63921000</v>
      </c>
      <c r="N83" s="1">
        <v>-153584000</v>
      </c>
      <c r="O83" s="1">
        <v>5200000</v>
      </c>
      <c r="P83" s="1">
        <v>-235590000</v>
      </c>
      <c r="Q83" s="1">
        <v>-126232000</v>
      </c>
      <c r="R83" s="1">
        <v>119314000</v>
      </c>
      <c r="S83" s="1">
        <v>-199683000</v>
      </c>
      <c r="T83" s="1">
        <v>-196271000</v>
      </c>
      <c r="U83" s="1">
        <v>1184573000</v>
      </c>
      <c r="V83" s="1">
        <v>-519732000</v>
      </c>
      <c r="AC83" s="65" t="s">
        <v>124</v>
      </c>
      <c r="AD83" s="66"/>
    </row>
    <row r="84" spans="1:30" ht="19" x14ac:dyDescent="0.25">
      <c r="A84" s="5" t="s">
        <v>47</v>
      </c>
      <c r="B84" s="1" t="s">
        <v>91</v>
      </c>
      <c r="C84" s="1" t="s">
        <v>91</v>
      </c>
      <c r="D84" s="1" t="s">
        <v>91</v>
      </c>
      <c r="E84" s="1" t="s">
        <v>91</v>
      </c>
      <c r="F84" s="1" t="s">
        <v>91</v>
      </c>
      <c r="G84" s="1" t="s">
        <v>91</v>
      </c>
      <c r="H84" s="1">
        <v>-6914000</v>
      </c>
      <c r="I84" s="1">
        <v>21840000</v>
      </c>
      <c r="J84" s="1">
        <v>16933000</v>
      </c>
      <c r="K84" s="1">
        <v>61336000</v>
      </c>
      <c r="L84" s="1">
        <v>-2208000</v>
      </c>
      <c r="M84" s="1">
        <v>46298000</v>
      </c>
      <c r="N84" s="1">
        <v>75520000</v>
      </c>
      <c r="O84" s="1">
        <v>-54301000</v>
      </c>
      <c r="P84" s="1">
        <v>135320000</v>
      </c>
      <c r="Q84" s="1">
        <v>132533000</v>
      </c>
      <c r="R84" s="1">
        <v>-173410000</v>
      </c>
      <c r="S84" s="1">
        <v>59889000</v>
      </c>
      <c r="T84" s="1">
        <v>189309000</v>
      </c>
      <c r="U84" s="1">
        <v>564628000</v>
      </c>
      <c r="V84" s="1">
        <v>50145000</v>
      </c>
      <c r="AC84" s="67" t="s">
        <v>125</v>
      </c>
      <c r="AD84" s="67"/>
    </row>
    <row r="85" spans="1:30" ht="20" x14ac:dyDescent="0.25">
      <c r="A85" s="5" t="s">
        <v>71</v>
      </c>
      <c r="B85" s="1" t="s">
        <v>91</v>
      </c>
      <c r="C85" s="1" t="s">
        <v>91</v>
      </c>
      <c r="D85" s="1" t="s">
        <v>91</v>
      </c>
      <c r="E85" s="1">
        <v>22922000</v>
      </c>
      <c r="F85" s="1">
        <v>37026000</v>
      </c>
      <c r="G85" s="1">
        <v>3748000</v>
      </c>
      <c r="H85" s="1">
        <v>807000</v>
      </c>
      <c r="I85" s="1">
        <v>2399000</v>
      </c>
      <c r="J85" s="1">
        <v>930000</v>
      </c>
      <c r="K85" s="1">
        <v>1757000</v>
      </c>
      <c r="L85" s="1">
        <v>-566000</v>
      </c>
      <c r="M85" s="1">
        <v>1954000</v>
      </c>
      <c r="N85" s="1">
        <v>3032000</v>
      </c>
      <c r="O85" s="1">
        <v>24874000</v>
      </c>
      <c r="P85" s="1">
        <v>17939000</v>
      </c>
      <c r="Q85" s="1">
        <v>67775000</v>
      </c>
      <c r="R85" s="1">
        <v>59800000</v>
      </c>
      <c r="S85" s="1">
        <v>350000</v>
      </c>
      <c r="T85" s="1">
        <v>-1452000</v>
      </c>
      <c r="U85" s="1" t="s">
        <v>91</v>
      </c>
      <c r="V85" s="1">
        <v>31544000</v>
      </c>
      <c r="AC85" s="38" t="s">
        <v>126</v>
      </c>
      <c r="AD85" s="39">
        <f>V17</f>
        <v>6413000</v>
      </c>
    </row>
    <row r="86" spans="1:30" ht="20" x14ac:dyDescent="0.25">
      <c r="A86" s="5" t="s">
        <v>72</v>
      </c>
      <c r="B86" s="1" t="s">
        <v>91</v>
      </c>
      <c r="C86" s="1" t="s">
        <v>91</v>
      </c>
      <c r="D86" s="1">
        <v>4663000</v>
      </c>
      <c r="E86" s="1">
        <v>3602000</v>
      </c>
      <c r="F86" s="1">
        <v>7001000</v>
      </c>
      <c r="G86" s="1">
        <v>17000000</v>
      </c>
      <c r="H86" s="1">
        <v>6046000</v>
      </c>
      <c r="I86" s="1">
        <v>7274000</v>
      </c>
      <c r="J86" s="1">
        <v>8110000</v>
      </c>
      <c r="K86" s="1">
        <v>6749000</v>
      </c>
      <c r="L86" s="1">
        <v>9636000</v>
      </c>
      <c r="M86" s="1">
        <v>642000</v>
      </c>
      <c r="N86" s="1">
        <v>-2510000</v>
      </c>
      <c r="O86" s="1">
        <v>6503000</v>
      </c>
      <c r="P86" s="1">
        <v>15330000</v>
      </c>
      <c r="Q86" s="1">
        <v>14240000</v>
      </c>
      <c r="R86" s="1">
        <v>45806000</v>
      </c>
      <c r="S86" s="1">
        <v>15262000</v>
      </c>
      <c r="T86" s="1">
        <v>7250000</v>
      </c>
      <c r="U86" s="1" t="s">
        <v>91</v>
      </c>
      <c r="V86" s="1">
        <v>-335000</v>
      </c>
      <c r="AC86" s="38" t="s">
        <v>127</v>
      </c>
      <c r="AD86" s="39">
        <f>V56</f>
        <v>456285000</v>
      </c>
    </row>
    <row r="87" spans="1:30" ht="20" x14ac:dyDescent="0.25">
      <c r="A87" s="6" t="s">
        <v>73</v>
      </c>
      <c r="B87" s="10" t="s">
        <v>91</v>
      </c>
      <c r="C87" s="10" t="s">
        <v>91</v>
      </c>
      <c r="D87" s="10">
        <v>4742000</v>
      </c>
      <c r="E87" s="10">
        <v>8206000</v>
      </c>
      <c r="F87" s="10">
        <v>14989000</v>
      </c>
      <c r="G87" s="10">
        <v>18502000</v>
      </c>
      <c r="H87" s="10">
        <v>21819000</v>
      </c>
      <c r="I87" s="10">
        <v>-2174000</v>
      </c>
      <c r="J87" s="10">
        <v>8480000</v>
      </c>
      <c r="K87" s="10">
        <v>16467000</v>
      </c>
      <c r="L87" s="10">
        <v>13583000</v>
      </c>
      <c r="M87" s="10">
        <v>6538000</v>
      </c>
      <c r="N87" s="10">
        <v>-44636000</v>
      </c>
      <c r="O87" s="10">
        <v>107509000</v>
      </c>
      <c r="P87" s="10">
        <v>-96188000</v>
      </c>
      <c r="Q87" s="10">
        <v>84347000</v>
      </c>
      <c r="R87" s="10">
        <v>262554000</v>
      </c>
      <c r="S87" s="10">
        <v>-30334000</v>
      </c>
      <c r="T87" s="10">
        <v>122955000</v>
      </c>
      <c r="U87" s="10" t="s">
        <v>91</v>
      </c>
      <c r="V87" s="10">
        <v>-440801000</v>
      </c>
      <c r="AC87" s="38" t="s">
        <v>128</v>
      </c>
      <c r="AD87" s="39">
        <f>V61</f>
        <v>164279000</v>
      </c>
    </row>
    <row r="88" spans="1:30" ht="20" x14ac:dyDescent="0.25">
      <c r="A88" s="5" t="s">
        <v>74</v>
      </c>
      <c r="B88" s="1" t="s">
        <v>91</v>
      </c>
      <c r="C88" s="1" t="s">
        <v>91</v>
      </c>
      <c r="D88" s="1">
        <v>-1050000</v>
      </c>
      <c r="E88" s="1">
        <v>-11452000</v>
      </c>
      <c r="F88" s="1">
        <v>-3042000</v>
      </c>
      <c r="G88" s="1">
        <v>-16085000</v>
      </c>
      <c r="H88" s="1">
        <v>-3561000</v>
      </c>
      <c r="I88" s="1">
        <v>-22223000</v>
      </c>
      <c r="J88" s="1">
        <v>-25397000</v>
      </c>
      <c r="K88" s="1">
        <v>-24862000</v>
      </c>
      <c r="L88" s="1">
        <v>-5001000</v>
      </c>
      <c r="M88" s="1">
        <v>-40567000</v>
      </c>
      <c r="N88" s="1">
        <v>-35100000</v>
      </c>
      <c r="O88" s="1">
        <v>-34108000</v>
      </c>
      <c r="P88" s="1">
        <v>-29365000</v>
      </c>
      <c r="Q88" s="1">
        <v>-24824000</v>
      </c>
      <c r="R88" s="1">
        <v>-24849000</v>
      </c>
      <c r="S88" s="1">
        <v>-44338000</v>
      </c>
      <c r="T88" s="1">
        <v>-58016000</v>
      </c>
      <c r="U88" s="1">
        <v>284148000</v>
      </c>
      <c r="V88" s="1">
        <v>-45182000</v>
      </c>
      <c r="AC88" s="40" t="s">
        <v>129</v>
      </c>
      <c r="AD88" s="41">
        <f>AD85/(AD86+AD87)</f>
        <v>1.0334147646334625E-2</v>
      </c>
    </row>
    <row r="89" spans="1:30" ht="20" customHeight="1" x14ac:dyDescent="0.25">
      <c r="A89" s="14" t="s">
        <v>104</v>
      </c>
      <c r="B89" s="15" t="e">
        <f t="shared" ref="B89:V89" si="20">(-1*B88)/B3</f>
        <v>#VALUE!</v>
      </c>
      <c r="C89" s="15" t="e">
        <f t="shared" si="20"/>
        <v>#VALUE!</v>
      </c>
      <c r="D89" s="15">
        <f t="shared" si="20"/>
        <v>6.2849789004279771E-3</v>
      </c>
      <c r="E89" s="15">
        <f t="shared" si="20"/>
        <v>5.4079324527892034E-2</v>
      </c>
      <c r="F89" s="15">
        <f t="shared" si="20"/>
        <v>1.0054835542951203E-2</v>
      </c>
      <c r="G89" s="15">
        <f t="shared" si="20"/>
        <v>3.8261816918930623E-2</v>
      </c>
      <c r="H89" s="15">
        <f t="shared" si="20"/>
        <v>6.5883075579599003E-3</v>
      </c>
      <c r="I89" s="15">
        <f t="shared" si="20"/>
        <v>4.3952935964351902E-2</v>
      </c>
      <c r="J89" s="15">
        <f t="shared" si="20"/>
        <v>3.5203302293474979E-2</v>
      </c>
      <c r="K89" s="15">
        <f t="shared" si="20"/>
        <v>2.6376485016688204E-2</v>
      </c>
      <c r="L89" s="15">
        <f t="shared" si="20"/>
        <v>4.9325655850727011E-3</v>
      </c>
      <c r="M89" s="15">
        <f t="shared" si="20"/>
        <v>3.4894513062110291E-2</v>
      </c>
      <c r="N89" s="15">
        <f t="shared" si="20"/>
        <v>2.3923086255334985E-2</v>
      </c>
      <c r="O89" s="15">
        <f t="shared" si="20"/>
        <v>1.7129756347446581E-2</v>
      </c>
      <c r="P89" s="15">
        <f t="shared" si="20"/>
        <v>1.3253907679864306E-2</v>
      </c>
      <c r="Q89" s="15">
        <f t="shared" si="20"/>
        <v>9.9898226468442351E-3</v>
      </c>
      <c r="R89" s="15">
        <f t="shared" si="20"/>
        <v>7.3944529551030029E-3</v>
      </c>
      <c r="S89" s="15">
        <f t="shared" si="20"/>
        <v>1.2666697139722771E-2</v>
      </c>
      <c r="T89" s="15">
        <f t="shared" si="20"/>
        <v>1.7373799928787067E-2</v>
      </c>
      <c r="U89" s="15">
        <f t="shared" si="20"/>
        <v>-7.9874695776885621E-2</v>
      </c>
      <c r="V89" s="15">
        <f t="shared" si="20"/>
        <v>8.6953693530473532E-3</v>
      </c>
      <c r="AC89" s="38" t="s">
        <v>105</v>
      </c>
      <c r="AD89" s="39">
        <f>V27</f>
        <v>52876000</v>
      </c>
    </row>
    <row r="90" spans="1:30"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t="s">
        <v>91</v>
      </c>
      <c r="T90" s="1" t="s">
        <v>91</v>
      </c>
      <c r="U90" s="1" t="s">
        <v>91</v>
      </c>
      <c r="V90" s="1" t="s">
        <v>91</v>
      </c>
      <c r="AC90" s="38" t="s">
        <v>19</v>
      </c>
      <c r="AD90" s="39">
        <f>V25</f>
        <v>336833000</v>
      </c>
    </row>
    <row r="91" spans="1:30" ht="20" x14ac:dyDescent="0.25">
      <c r="A91" s="5" t="s">
        <v>76</v>
      </c>
      <c r="B91" s="1" t="s">
        <v>91</v>
      </c>
      <c r="C91" s="1" t="s">
        <v>91</v>
      </c>
      <c r="D91" s="1">
        <v>-1767000</v>
      </c>
      <c r="E91" s="1">
        <v>-103000</v>
      </c>
      <c r="F91" s="1">
        <v>-15054000</v>
      </c>
      <c r="G91" s="1">
        <v>-22480000</v>
      </c>
      <c r="H91" s="1">
        <v>-58000</v>
      </c>
      <c r="I91" s="1">
        <v>-58000</v>
      </c>
      <c r="J91" s="1">
        <v>-750000</v>
      </c>
      <c r="K91" s="1">
        <v>-168000</v>
      </c>
      <c r="L91" s="1" t="s">
        <v>91</v>
      </c>
      <c r="M91" s="1" t="s">
        <v>91</v>
      </c>
      <c r="N91" s="1">
        <v>-661000</v>
      </c>
      <c r="O91" s="1" t="s">
        <v>91</v>
      </c>
      <c r="P91" s="1" t="s">
        <v>91</v>
      </c>
      <c r="Q91" s="1">
        <v>-2100000</v>
      </c>
      <c r="R91" s="1" t="s">
        <v>91</v>
      </c>
      <c r="S91" s="1" t="s">
        <v>91</v>
      </c>
      <c r="T91" s="1" t="s">
        <v>91</v>
      </c>
      <c r="U91" s="1" t="s">
        <v>91</v>
      </c>
      <c r="V91" s="1">
        <v>-1100000</v>
      </c>
      <c r="AC91" s="40" t="s">
        <v>130</v>
      </c>
      <c r="AD91" s="41">
        <f>AD89/AD90</f>
        <v>0.15697986836206665</v>
      </c>
    </row>
    <row r="92" spans="1:30" ht="20" x14ac:dyDescent="0.25">
      <c r="A92" s="5" t="s">
        <v>77</v>
      </c>
      <c r="B92" s="1" t="s">
        <v>91</v>
      </c>
      <c r="C92" s="1" t="s">
        <v>91</v>
      </c>
      <c r="D92" s="1">
        <v>200000</v>
      </c>
      <c r="E92" s="1">
        <v>1826000</v>
      </c>
      <c r="F92" s="1">
        <v>145000</v>
      </c>
      <c r="G92" s="1">
        <v>20628000</v>
      </c>
      <c r="H92" s="1">
        <v>942000</v>
      </c>
      <c r="I92" s="1">
        <v>10479000</v>
      </c>
      <c r="J92" s="1">
        <v>1500000</v>
      </c>
      <c r="K92" s="1">
        <v>2475000</v>
      </c>
      <c r="L92" s="1">
        <v>300000</v>
      </c>
      <c r="M92" s="1" t="s">
        <v>91</v>
      </c>
      <c r="N92" s="1" t="s">
        <v>91</v>
      </c>
      <c r="O92" s="1" t="s">
        <v>91</v>
      </c>
      <c r="P92" s="1" t="s">
        <v>91</v>
      </c>
      <c r="Q92" s="1">
        <v>1000000</v>
      </c>
      <c r="R92" s="1" t="s">
        <v>91</v>
      </c>
      <c r="S92" s="1" t="s">
        <v>91</v>
      </c>
      <c r="T92" s="1" t="s">
        <v>91</v>
      </c>
      <c r="U92" s="1" t="s">
        <v>91</v>
      </c>
      <c r="V92" s="1" t="s">
        <v>91</v>
      </c>
      <c r="AC92" s="40" t="s">
        <v>131</v>
      </c>
      <c r="AD92" s="41">
        <f>AD88*(1-AD91)</f>
        <v>8.7118945091788549E-3</v>
      </c>
    </row>
    <row r="93" spans="1:30" ht="19" x14ac:dyDescent="0.25">
      <c r="A93" s="5" t="s">
        <v>78</v>
      </c>
      <c r="B93" s="1" t="s">
        <v>91</v>
      </c>
      <c r="C93" s="1" t="s">
        <v>91</v>
      </c>
      <c r="D93" s="1">
        <v>1753000</v>
      </c>
      <c r="E93" s="1">
        <v>-63000</v>
      </c>
      <c r="F93" s="1">
        <v>-157000</v>
      </c>
      <c r="G93" s="1">
        <v>-1671000</v>
      </c>
      <c r="H93" s="1">
        <v>-38000</v>
      </c>
      <c r="I93" s="1" t="s">
        <v>91</v>
      </c>
      <c r="J93" s="1">
        <v>-123000</v>
      </c>
      <c r="K93" s="1">
        <v>2836000</v>
      </c>
      <c r="L93" s="1">
        <v>-412000</v>
      </c>
      <c r="M93" s="1">
        <v>406000</v>
      </c>
      <c r="N93" s="1">
        <v>-416000</v>
      </c>
      <c r="O93" s="1">
        <v>-1020000</v>
      </c>
      <c r="P93" s="1">
        <v>-340000</v>
      </c>
      <c r="Q93" s="1" t="s">
        <v>91</v>
      </c>
      <c r="R93" s="1" t="s">
        <v>91</v>
      </c>
      <c r="S93" s="1">
        <v>750000</v>
      </c>
      <c r="T93" s="1" t="s">
        <v>91</v>
      </c>
      <c r="U93" s="1" t="s">
        <v>91</v>
      </c>
      <c r="V93" s="1" t="s">
        <v>91</v>
      </c>
      <c r="AC93" s="67" t="s">
        <v>132</v>
      </c>
      <c r="AD93" s="67"/>
    </row>
    <row r="94" spans="1:30" ht="20" x14ac:dyDescent="0.25">
      <c r="A94" s="6" t="s">
        <v>79</v>
      </c>
      <c r="B94" s="10" t="s">
        <v>91</v>
      </c>
      <c r="C94" s="10" t="s">
        <v>91</v>
      </c>
      <c r="D94" s="10">
        <v>-864000</v>
      </c>
      <c r="E94" s="10">
        <v>-9792000</v>
      </c>
      <c r="F94" s="10">
        <v>-18108000</v>
      </c>
      <c r="G94" s="10">
        <v>-19608000</v>
      </c>
      <c r="H94" s="10">
        <v>-2715000</v>
      </c>
      <c r="I94" s="10">
        <v>-11802000</v>
      </c>
      <c r="J94" s="10">
        <v>-24770000</v>
      </c>
      <c r="K94" s="10">
        <v>-19719000</v>
      </c>
      <c r="L94" s="10">
        <v>-5113000</v>
      </c>
      <c r="M94" s="10">
        <v>-40161000</v>
      </c>
      <c r="N94" s="10">
        <v>-36177000</v>
      </c>
      <c r="O94" s="10">
        <v>-35128000</v>
      </c>
      <c r="P94" s="10">
        <v>-29705000</v>
      </c>
      <c r="Q94" s="10">
        <v>-25924000</v>
      </c>
      <c r="R94" s="10">
        <v>-24849000</v>
      </c>
      <c r="S94" s="10">
        <v>-43588000</v>
      </c>
      <c r="T94" s="10">
        <v>-58016000</v>
      </c>
      <c r="U94" s="10">
        <v>284148000</v>
      </c>
      <c r="V94" s="10">
        <v>-46282000</v>
      </c>
      <c r="AC94" s="38" t="s">
        <v>133</v>
      </c>
      <c r="AD94" s="42">
        <f>[1]Treasuries!$C$8</f>
        <v>3.9120000000000002E-2</v>
      </c>
    </row>
    <row r="95" spans="1:30" ht="20" x14ac:dyDescent="0.25">
      <c r="A95" s="5" t="s">
        <v>80</v>
      </c>
      <c r="B95" s="1" t="s">
        <v>91</v>
      </c>
      <c r="C95" s="1" t="s">
        <v>91</v>
      </c>
      <c r="D95" s="1" t="s">
        <v>91</v>
      </c>
      <c r="E95" s="1" t="s">
        <v>91</v>
      </c>
      <c r="F95" s="1" t="s">
        <v>91</v>
      </c>
      <c r="G95" s="1" t="s">
        <v>91</v>
      </c>
      <c r="H95" s="1">
        <v>-364000</v>
      </c>
      <c r="I95" s="1">
        <v>-10036000</v>
      </c>
      <c r="J95" s="1">
        <v>-14196000</v>
      </c>
      <c r="K95" s="1">
        <v>-28984000</v>
      </c>
      <c r="L95" s="1">
        <v>-18113000</v>
      </c>
      <c r="M95" s="1">
        <v>-6367000</v>
      </c>
      <c r="N95" s="1">
        <v>-36134000</v>
      </c>
      <c r="O95" s="1">
        <v>-34289000</v>
      </c>
      <c r="P95" s="1">
        <v>-140705000</v>
      </c>
      <c r="Q95" s="1">
        <v>-220552000</v>
      </c>
      <c r="R95" s="1">
        <v>-133912000</v>
      </c>
      <c r="S95" s="1">
        <v>-160445000</v>
      </c>
      <c r="T95" s="1">
        <v>-60629000</v>
      </c>
      <c r="U95" s="1" t="s">
        <v>91</v>
      </c>
      <c r="V95" s="1">
        <v>-640695000</v>
      </c>
      <c r="AC95" s="38" t="s">
        <v>134</v>
      </c>
      <c r="AD95" s="43" cm="1">
        <f t="array" ref="AD95">_FV(A1,"Beta")</f>
        <v>1.2151000000000001</v>
      </c>
    </row>
    <row r="96" spans="1:30" ht="20" x14ac:dyDescent="0.25">
      <c r="A96" s="5" t="s">
        <v>81</v>
      </c>
      <c r="B96" s="1" t="s">
        <v>91</v>
      </c>
      <c r="C96" s="1" t="s">
        <v>91</v>
      </c>
      <c r="D96" s="1">
        <v>44000</v>
      </c>
      <c r="E96" s="1">
        <v>377000</v>
      </c>
      <c r="F96" s="1">
        <v>45184000</v>
      </c>
      <c r="G96" s="1">
        <v>2932000</v>
      </c>
      <c r="H96" s="1" t="s">
        <v>91</v>
      </c>
      <c r="I96" s="1" t="s">
        <v>91</v>
      </c>
      <c r="J96" s="1" t="s">
        <v>91</v>
      </c>
      <c r="K96" s="1" t="s">
        <v>91</v>
      </c>
      <c r="L96" s="1" t="s">
        <v>91</v>
      </c>
      <c r="M96" s="1" t="s">
        <v>91</v>
      </c>
      <c r="N96" s="1" t="s">
        <v>91</v>
      </c>
      <c r="O96" s="1" t="s">
        <v>91</v>
      </c>
      <c r="P96" s="1" t="s">
        <v>91</v>
      </c>
      <c r="Q96" s="1" t="s">
        <v>91</v>
      </c>
      <c r="R96" s="1" t="s">
        <v>91</v>
      </c>
      <c r="S96" s="1" t="s">
        <v>91</v>
      </c>
      <c r="T96" s="1" t="s">
        <v>91</v>
      </c>
      <c r="U96" s="1" t="s">
        <v>91</v>
      </c>
      <c r="V96" s="1" t="s">
        <v>91</v>
      </c>
      <c r="AC96" s="38" t="s">
        <v>135</v>
      </c>
      <c r="AD96" s="42">
        <v>8.4000000000000005E-2</v>
      </c>
    </row>
    <row r="97" spans="1:30" ht="20" x14ac:dyDescent="0.25">
      <c r="A97" s="5" t="s">
        <v>82</v>
      </c>
      <c r="B97" s="1" t="s">
        <v>91</v>
      </c>
      <c r="C97" s="1" t="s">
        <v>91</v>
      </c>
      <c r="D97" s="1" t="s">
        <v>91</v>
      </c>
      <c r="E97" s="1" t="s">
        <v>91</v>
      </c>
      <c r="F97" s="1" t="s">
        <v>91</v>
      </c>
      <c r="G97" s="1" t="s">
        <v>91</v>
      </c>
      <c r="H97" s="1">
        <v>-2030000</v>
      </c>
      <c r="I97" s="1" t="s">
        <v>91</v>
      </c>
      <c r="J97" s="1" t="s">
        <v>91</v>
      </c>
      <c r="K97" s="1" t="s">
        <v>91</v>
      </c>
      <c r="L97" s="1" t="s">
        <v>91</v>
      </c>
      <c r="M97" s="1" t="s">
        <v>91</v>
      </c>
      <c r="N97" s="1" t="s">
        <v>91</v>
      </c>
      <c r="O97" s="1" t="s">
        <v>91</v>
      </c>
      <c r="P97" s="1">
        <v>-18461000</v>
      </c>
      <c r="Q97" s="1" t="s">
        <v>91</v>
      </c>
      <c r="R97" s="1" t="s">
        <v>91</v>
      </c>
      <c r="S97" s="1" t="s">
        <v>91</v>
      </c>
      <c r="T97" s="1">
        <v>-130000000</v>
      </c>
      <c r="U97" s="1" t="s">
        <v>91</v>
      </c>
      <c r="V97" s="1" t="s">
        <v>91</v>
      </c>
      <c r="AC97" s="40" t="s">
        <v>136</v>
      </c>
      <c r="AD97" s="41">
        <f>(AD94)+((AD95)*(AD96-AD94))</f>
        <v>9.3653688000000013E-2</v>
      </c>
    </row>
    <row r="98" spans="1:30"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v>0</v>
      </c>
      <c r="AC98" s="67" t="s">
        <v>137</v>
      </c>
      <c r="AD98" s="67"/>
    </row>
    <row r="99" spans="1:30" ht="20" x14ac:dyDescent="0.25">
      <c r="A99" s="5" t="s">
        <v>84</v>
      </c>
      <c r="B99" s="1" t="s">
        <v>91</v>
      </c>
      <c r="C99" s="1" t="s">
        <v>91</v>
      </c>
      <c r="D99" s="1">
        <v>-111000</v>
      </c>
      <c r="E99" s="1">
        <v>6548000</v>
      </c>
      <c r="F99" s="1">
        <v>-7710000</v>
      </c>
      <c r="G99" s="1">
        <v>-1209000</v>
      </c>
      <c r="H99" s="1">
        <v>2104000</v>
      </c>
      <c r="I99" s="1">
        <v>26361000</v>
      </c>
      <c r="J99" s="1">
        <v>27785000</v>
      </c>
      <c r="K99" s="1">
        <v>42801000</v>
      </c>
      <c r="L99" s="1">
        <v>21875000</v>
      </c>
      <c r="M99" s="1">
        <v>43589000</v>
      </c>
      <c r="N99" s="1">
        <v>116185000</v>
      </c>
      <c r="O99" s="1">
        <v>47434000</v>
      </c>
      <c r="P99" s="1">
        <v>216890000</v>
      </c>
      <c r="Q99" s="1">
        <v>169720000</v>
      </c>
      <c r="R99" s="1">
        <v>38084000</v>
      </c>
      <c r="S99" s="1">
        <v>184241000</v>
      </c>
      <c r="T99" s="1">
        <v>146189000</v>
      </c>
      <c r="U99" s="1" t="s">
        <v>91</v>
      </c>
      <c r="V99" s="1">
        <v>1163566000</v>
      </c>
      <c r="AC99" s="38" t="s">
        <v>138</v>
      </c>
      <c r="AD99" s="39">
        <f>AD86+AD87</f>
        <v>620564000</v>
      </c>
    </row>
    <row r="100" spans="1:30" ht="20" x14ac:dyDescent="0.25">
      <c r="A100" s="6" t="s">
        <v>85</v>
      </c>
      <c r="B100" s="10" t="s">
        <v>91</v>
      </c>
      <c r="C100" s="10" t="s">
        <v>91</v>
      </c>
      <c r="D100" s="10">
        <v>-67000</v>
      </c>
      <c r="E100" s="10">
        <v>6925000</v>
      </c>
      <c r="F100" s="10">
        <v>37474000</v>
      </c>
      <c r="G100" s="10">
        <v>1723000</v>
      </c>
      <c r="H100" s="10">
        <v>-290000</v>
      </c>
      <c r="I100" s="10">
        <v>16325000</v>
      </c>
      <c r="J100" s="10">
        <v>13589000</v>
      </c>
      <c r="K100" s="10">
        <v>13817000</v>
      </c>
      <c r="L100" s="10">
        <v>3762000</v>
      </c>
      <c r="M100" s="10">
        <v>37222000</v>
      </c>
      <c r="N100" s="10">
        <v>80051000</v>
      </c>
      <c r="O100" s="10">
        <v>13145000</v>
      </c>
      <c r="P100" s="10">
        <v>57724000</v>
      </c>
      <c r="Q100" s="10">
        <v>-50832000</v>
      </c>
      <c r="R100" s="10">
        <v>-95828000</v>
      </c>
      <c r="S100" s="10">
        <v>23796000</v>
      </c>
      <c r="T100" s="10">
        <v>-44440000</v>
      </c>
      <c r="U100" s="10" t="s">
        <v>91</v>
      </c>
      <c r="V100" s="10">
        <v>522871000</v>
      </c>
      <c r="AC100" s="40" t="s">
        <v>139</v>
      </c>
      <c r="AD100" s="41">
        <f>AD99/AD103</f>
        <v>3.6809207509798665E-2</v>
      </c>
    </row>
    <row r="101" spans="1:30" ht="20" x14ac:dyDescent="0.25">
      <c r="A101" s="5" t="s">
        <v>86</v>
      </c>
      <c r="B101" s="1" t="s">
        <v>91</v>
      </c>
      <c r="C101" s="1" t="s">
        <v>91</v>
      </c>
      <c r="D101" s="1" t="s">
        <v>91</v>
      </c>
      <c r="E101" s="1" t="s">
        <v>91</v>
      </c>
      <c r="F101" s="1" t="s">
        <v>91</v>
      </c>
      <c r="G101" s="1" t="s">
        <v>91</v>
      </c>
      <c r="H101" s="1" t="s">
        <v>91</v>
      </c>
      <c r="I101" s="1" t="s">
        <v>91</v>
      </c>
      <c r="J101" s="1" t="s">
        <v>91</v>
      </c>
      <c r="K101" s="1">
        <v>318000</v>
      </c>
      <c r="L101" s="1">
        <v>-20000</v>
      </c>
      <c r="M101" s="1">
        <v>235000</v>
      </c>
      <c r="N101" s="1">
        <v>-668000</v>
      </c>
      <c r="O101" s="1">
        <v>-4000</v>
      </c>
      <c r="P101" s="1">
        <v>-45000</v>
      </c>
      <c r="Q101" s="1">
        <v>-6000</v>
      </c>
      <c r="R101" s="1">
        <v>-119000</v>
      </c>
      <c r="S101" s="1">
        <v>376000</v>
      </c>
      <c r="T101" s="1">
        <v>560000</v>
      </c>
      <c r="U101" s="1" t="s">
        <v>91</v>
      </c>
      <c r="V101" s="1">
        <v>-678000</v>
      </c>
      <c r="AC101" s="38" t="s">
        <v>140</v>
      </c>
      <c r="AD101" s="44" cm="1">
        <f t="array" ref="AD101">_FV(A1,"Market cap",TRUE)</f>
        <v>16238370000</v>
      </c>
    </row>
    <row r="102" spans="1:30" ht="20" x14ac:dyDescent="0.25">
      <c r="A102" s="6" t="s">
        <v>87</v>
      </c>
      <c r="B102" s="10" t="s">
        <v>91</v>
      </c>
      <c r="C102" s="10" t="s">
        <v>91</v>
      </c>
      <c r="D102" s="10">
        <v>3811000</v>
      </c>
      <c r="E102" s="10">
        <v>5339000</v>
      </c>
      <c r="F102" s="10">
        <v>34355000</v>
      </c>
      <c r="G102" s="10">
        <v>617000</v>
      </c>
      <c r="H102" s="10">
        <v>18814000</v>
      </c>
      <c r="I102" s="10">
        <v>2349000</v>
      </c>
      <c r="J102" s="10">
        <v>-2701000</v>
      </c>
      <c r="K102" s="10">
        <v>10883000</v>
      </c>
      <c r="L102" s="10">
        <v>12212000</v>
      </c>
      <c r="M102" s="10">
        <v>3834000</v>
      </c>
      <c r="N102" s="10">
        <v>-1430000</v>
      </c>
      <c r="O102" s="10">
        <v>85522000</v>
      </c>
      <c r="P102" s="10">
        <v>-68214000</v>
      </c>
      <c r="Q102" s="10">
        <v>7585000</v>
      </c>
      <c r="R102" s="10">
        <v>141758000</v>
      </c>
      <c r="S102" s="10">
        <v>-49750000</v>
      </c>
      <c r="T102" s="10">
        <v>21059000</v>
      </c>
      <c r="U102" s="10" t="s">
        <v>91</v>
      </c>
      <c r="V102" s="10">
        <v>35110000</v>
      </c>
      <c r="AC102" s="40" t="s">
        <v>141</v>
      </c>
      <c r="AD102" s="41">
        <f>AD101/AD103</f>
        <v>0.96319079249020134</v>
      </c>
    </row>
    <row r="103" spans="1:30" ht="20" x14ac:dyDescent="0.25">
      <c r="A103" s="5" t="s">
        <v>88</v>
      </c>
      <c r="B103" s="1" t="s">
        <v>91</v>
      </c>
      <c r="C103" s="1" t="s">
        <v>91</v>
      </c>
      <c r="D103" s="1">
        <v>7359000</v>
      </c>
      <c r="E103" s="1">
        <v>11170000</v>
      </c>
      <c r="F103" s="1">
        <v>16509000</v>
      </c>
      <c r="G103" s="1">
        <v>50864000</v>
      </c>
      <c r="H103" s="1">
        <v>51481000</v>
      </c>
      <c r="I103" s="1">
        <v>70295000</v>
      </c>
      <c r="J103" s="1">
        <v>72644000</v>
      </c>
      <c r="K103" s="1">
        <v>69943000</v>
      </c>
      <c r="L103" s="1">
        <v>80826000</v>
      </c>
      <c r="M103" s="1">
        <v>93038000</v>
      </c>
      <c r="N103" s="1">
        <v>96872000</v>
      </c>
      <c r="O103" s="1">
        <v>95442000</v>
      </c>
      <c r="P103" s="1">
        <v>178820000</v>
      </c>
      <c r="Q103" s="1">
        <v>112797000</v>
      </c>
      <c r="R103" s="1">
        <v>120382000</v>
      </c>
      <c r="S103" s="1">
        <v>262140000</v>
      </c>
      <c r="T103" s="1">
        <v>212390000</v>
      </c>
      <c r="U103" s="1">
        <v>233449000</v>
      </c>
      <c r="V103" s="1">
        <v>233449000</v>
      </c>
      <c r="AC103" s="40" t="s">
        <v>142</v>
      </c>
      <c r="AD103" s="45">
        <f>AD99+AD101</f>
        <v>16858934000</v>
      </c>
    </row>
    <row r="104" spans="1:30" ht="20" thickBot="1" x14ac:dyDescent="0.3">
      <c r="A104" s="7" t="s">
        <v>89</v>
      </c>
      <c r="B104" s="11" t="s">
        <v>91</v>
      </c>
      <c r="C104" s="11" t="s">
        <v>91</v>
      </c>
      <c r="D104" s="11">
        <v>11170000</v>
      </c>
      <c r="E104" s="11">
        <v>16509000</v>
      </c>
      <c r="F104" s="11">
        <v>50864000</v>
      </c>
      <c r="G104" s="11">
        <v>51481000</v>
      </c>
      <c r="H104" s="11">
        <v>70295000</v>
      </c>
      <c r="I104" s="11">
        <v>72644000</v>
      </c>
      <c r="J104" s="11">
        <v>69943000</v>
      </c>
      <c r="K104" s="11">
        <v>80826000</v>
      </c>
      <c r="L104" s="11">
        <v>93038000</v>
      </c>
      <c r="M104" s="11">
        <v>96872000</v>
      </c>
      <c r="N104" s="11">
        <v>95442000</v>
      </c>
      <c r="O104" s="11">
        <v>180964000</v>
      </c>
      <c r="P104" s="11">
        <v>110606000</v>
      </c>
      <c r="Q104" s="11">
        <v>120382000</v>
      </c>
      <c r="R104" s="11">
        <v>262140000</v>
      </c>
      <c r="S104" s="11">
        <v>212390000</v>
      </c>
      <c r="T104" s="11">
        <v>233449000</v>
      </c>
      <c r="U104" s="11" t="s">
        <v>91</v>
      </c>
      <c r="V104" s="11">
        <v>268559000</v>
      </c>
      <c r="AC104" s="67" t="s">
        <v>143</v>
      </c>
      <c r="AD104" s="67"/>
    </row>
    <row r="105" spans="1:30" ht="21" thickTop="1" x14ac:dyDescent="0.25">
      <c r="A105" s="14" t="s">
        <v>159</v>
      </c>
      <c r="C105" s="1" t="e">
        <f t="shared" ref="C105:U105" si="21">(C22*(1-$AD$91))+C77+C88+C81</f>
        <v>#VALUE!</v>
      </c>
      <c r="D105" s="1">
        <f t="shared" si="21"/>
        <v>132645158.29209134</v>
      </c>
      <c r="E105" s="1">
        <f t="shared" si="21"/>
        <v>-13326303.251166008</v>
      </c>
      <c r="F105" s="1">
        <f t="shared" si="21"/>
        <v>12105745.096234631</v>
      </c>
      <c r="G105" s="1">
        <f t="shared" si="21"/>
        <v>-11744482.963367604</v>
      </c>
      <c r="H105" s="1">
        <f t="shared" si="21"/>
        <v>25395263.721191213</v>
      </c>
      <c r="I105" s="1">
        <f t="shared" si="21"/>
        <v>-41033252.879023135</v>
      </c>
      <c r="J105" s="1">
        <f t="shared" si="21"/>
        <v>-40486144.736412406</v>
      </c>
      <c r="K105" s="1">
        <f t="shared" si="21"/>
        <v>-2632619.4137747809</v>
      </c>
      <c r="L105" s="1">
        <f t="shared" si="21"/>
        <v>12106728.337187864</v>
      </c>
      <c r="M105" s="1">
        <f t="shared" si="21"/>
        <v>-77060259.264977008</v>
      </c>
      <c r="N105" s="1">
        <f t="shared" si="21"/>
        <v>-125760047.25487112</v>
      </c>
      <c r="O105" s="1">
        <f t="shared" si="21"/>
        <v>108588832.23734015</v>
      </c>
      <c r="P105" s="1">
        <f t="shared" si="21"/>
        <v>-131891298.93448682</v>
      </c>
      <c r="Q105" s="1">
        <f t="shared" si="21"/>
        <v>40873534.98914893</v>
      </c>
      <c r="R105" s="1">
        <f t="shared" si="21"/>
        <v>195742808.7479552</v>
      </c>
      <c r="S105" s="1">
        <f t="shared" si="21"/>
        <v>-98689623.54044883</v>
      </c>
      <c r="T105" s="1">
        <f t="shared" si="21"/>
        <v>-2126953.6446844637</v>
      </c>
      <c r="U105" s="1">
        <f t="shared" si="21"/>
        <v>372318816.25612694</v>
      </c>
      <c r="V105" s="1">
        <f>(V22*(1-$AD$91))+V77+V88+V81</f>
        <v>-514257471.53930879</v>
      </c>
      <c r="W105" s="27">
        <f>V105*(1+$AD$106)</f>
        <v>-601019136.47408175</v>
      </c>
      <c r="X105" s="27">
        <f t="shared" ref="X105:AA105" si="22">W105*(1+$AD$106)</f>
        <v>-702418579.01803899</v>
      </c>
      <c r="Y105" s="27">
        <f t="shared" si="22"/>
        <v>-820925375.26215363</v>
      </c>
      <c r="Z105" s="27">
        <f t="shared" si="22"/>
        <v>-959425749.65973485</v>
      </c>
      <c r="AA105" s="27">
        <f t="shared" si="22"/>
        <v>-1121292868.8142855</v>
      </c>
      <c r="AB105" s="28" t="s">
        <v>157</v>
      </c>
      <c r="AC105" s="46" t="s">
        <v>106</v>
      </c>
      <c r="AD105" s="47">
        <f>(AD100*AD92)+(AD102*AD97)</f>
        <v>9.0527047897141902E-2</v>
      </c>
    </row>
    <row r="106" spans="1:30" ht="19" x14ac:dyDescent="0.25">
      <c r="A106" s="14" t="s">
        <v>160</v>
      </c>
      <c r="B106" s="1"/>
      <c r="C106" s="15" t="e">
        <f t="shared" ref="C106:V106" si="23">(C107/B107)-1</f>
        <v>#VALUE!</v>
      </c>
      <c r="D106" s="15" t="e">
        <f t="shared" si="23"/>
        <v>#VALUE!</v>
      </c>
      <c r="E106" s="15">
        <f t="shared" si="23"/>
        <v>-1.8791982665222102</v>
      </c>
      <c r="F106" s="15">
        <f t="shared" si="23"/>
        <v>-4.6805298829328406</v>
      </c>
      <c r="G106" s="15">
        <f t="shared" si="23"/>
        <v>-0.79768979660165729</v>
      </c>
      <c r="H106" s="15">
        <f t="shared" si="23"/>
        <v>6.5539925527513443</v>
      </c>
      <c r="I106" s="15">
        <f t="shared" si="23"/>
        <v>-2.3362361704458321</v>
      </c>
      <c r="J106" s="15">
        <f t="shared" si="23"/>
        <v>-0.30659507316473333</v>
      </c>
      <c r="K106" s="15">
        <f t="shared" si="23"/>
        <v>-0.50375362061831286</v>
      </c>
      <c r="L106" s="15">
        <f t="shared" si="23"/>
        <v>-2.022275163787969</v>
      </c>
      <c r="M106" s="15">
        <f t="shared" si="23"/>
        <v>-4.9651596364483801</v>
      </c>
      <c r="N106" s="15">
        <f t="shared" si="23"/>
        <v>1.3431778776925563</v>
      </c>
      <c r="O106" s="15">
        <f t="shared" si="23"/>
        <v>-1.9205503160429416</v>
      </c>
      <c r="P106" s="15">
        <f t="shared" si="23"/>
        <v>-2.7105080312257326</v>
      </c>
      <c r="Q106" s="15">
        <f t="shared" si="23"/>
        <v>-1.4740866407015365</v>
      </c>
      <c r="R106" s="15">
        <f t="shared" si="23"/>
        <v>2.9934983115770373</v>
      </c>
      <c r="S106" s="15">
        <f t="shared" si="23"/>
        <v>-1.3141372709871479</v>
      </c>
      <c r="T106" s="15">
        <f t="shared" si="23"/>
        <v>-1.8696566316691665</v>
      </c>
      <c r="U106" s="15">
        <f t="shared" si="23"/>
        <v>3.37561403778931</v>
      </c>
      <c r="V106" s="15">
        <f t="shared" si="23"/>
        <v>-2.7103164548052421</v>
      </c>
      <c r="W106" s="30">
        <v>243700000</v>
      </c>
      <c r="X106" s="30">
        <v>477900000</v>
      </c>
      <c r="Y106" s="30">
        <v>645400000</v>
      </c>
      <c r="Z106" s="30">
        <v>1353000000</v>
      </c>
      <c r="AA106" s="30">
        <v>2358000000</v>
      </c>
      <c r="AB106" s="28" t="s">
        <v>158</v>
      </c>
      <c r="AC106" s="48" t="s">
        <v>144</v>
      </c>
      <c r="AD106" s="49">
        <f>(SUM(W4:AA4)/5)</f>
        <v>0.16871250246510239</v>
      </c>
    </row>
    <row r="107" spans="1:30" ht="19" x14ac:dyDescent="0.25">
      <c r="A107" s="32" t="s">
        <v>161</v>
      </c>
      <c r="B107" s="1" t="s">
        <v>91</v>
      </c>
      <c r="C107" s="1" t="s">
        <v>91</v>
      </c>
      <c r="D107" s="1">
        <v>3692000</v>
      </c>
      <c r="E107" s="1">
        <v>-3246000</v>
      </c>
      <c r="F107" s="1">
        <v>11947000</v>
      </c>
      <c r="G107" s="1">
        <v>2417000</v>
      </c>
      <c r="H107" s="1">
        <v>18258000</v>
      </c>
      <c r="I107" s="1">
        <v>-24397000</v>
      </c>
      <c r="J107" s="1">
        <v>-16917000</v>
      </c>
      <c r="K107" s="1">
        <v>-8395000</v>
      </c>
      <c r="L107" s="1">
        <v>8582000</v>
      </c>
      <c r="M107" s="1">
        <v>-34029000</v>
      </c>
      <c r="N107" s="1">
        <v>-79736000</v>
      </c>
      <c r="O107" s="1">
        <v>73401000</v>
      </c>
      <c r="P107" s="1">
        <v>-125553000</v>
      </c>
      <c r="Q107" s="1">
        <v>59523000</v>
      </c>
      <c r="R107" s="1">
        <v>237705000</v>
      </c>
      <c r="S107" s="1">
        <v>-74672000</v>
      </c>
      <c r="T107" s="1">
        <v>64939000</v>
      </c>
      <c r="U107" s="1">
        <v>284148000</v>
      </c>
      <c r="V107" s="1">
        <v>-485983000</v>
      </c>
      <c r="W107" s="28"/>
      <c r="X107" s="28"/>
      <c r="Y107" s="28"/>
      <c r="Z107" s="28"/>
      <c r="AA107" s="31">
        <f>AA106*(1+AD107)/(AD108-AD107)</f>
        <v>36884768619.42411</v>
      </c>
      <c r="AB107" s="29" t="s">
        <v>145</v>
      </c>
      <c r="AC107" s="50" t="s">
        <v>146</v>
      </c>
      <c r="AD107" s="51">
        <v>2.5000000000000001E-2</v>
      </c>
    </row>
    <row r="108" spans="1:30" ht="19" x14ac:dyDescent="0.25">
      <c r="W108" s="31">
        <f t="shared" ref="W108:Y108" si="24">W107+W106</f>
        <v>243700000</v>
      </c>
      <c r="X108" s="31">
        <f t="shared" si="24"/>
        <v>477900000</v>
      </c>
      <c r="Y108" s="31">
        <f t="shared" si="24"/>
        <v>645400000</v>
      </c>
      <c r="Z108" s="31">
        <f>Z107+Z106</f>
        <v>1353000000</v>
      </c>
      <c r="AA108" s="31">
        <f>AA107+AA106</f>
        <v>39242768619.42411</v>
      </c>
      <c r="AB108" s="29" t="s">
        <v>142</v>
      </c>
      <c r="AC108" s="52" t="s">
        <v>147</v>
      </c>
      <c r="AD108" s="49">
        <f>AD105</f>
        <v>9.0527047897141902E-2</v>
      </c>
    </row>
    <row r="109" spans="1:30" ht="19" x14ac:dyDescent="0.25">
      <c r="W109" s="64" t="s">
        <v>148</v>
      </c>
      <c r="X109" s="64"/>
    </row>
    <row r="110" spans="1:30" ht="20" x14ac:dyDescent="0.25">
      <c r="W110" s="53" t="s">
        <v>149</v>
      </c>
      <c r="X110" s="44">
        <f>NPV(AD108,W108,X108,Y108,Z108,AA108)</f>
        <v>27523146686.600853</v>
      </c>
    </row>
    <row r="111" spans="1:30" ht="20" x14ac:dyDescent="0.25">
      <c r="W111" s="53" t="s">
        <v>150</v>
      </c>
      <c r="X111" s="44">
        <f>V40</f>
        <v>267397000</v>
      </c>
    </row>
    <row r="112" spans="1:30" ht="20" x14ac:dyDescent="0.25">
      <c r="W112" s="53" t="s">
        <v>138</v>
      </c>
      <c r="X112" s="44">
        <f>AD99</f>
        <v>620564000</v>
      </c>
    </row>
    <row r="113" spans="23:24" ht="20" x14ac:dyDescent="0.25">
      <c r="W113" s="53" t="s">
        <v>151</v>
      </c>
      <c r="X113" s="44">
        <f>X110+X111-X112</f>
        <v>27169979686.600853</v>
      </c>
    </row>
    <row r="114" spans="23:24" ht="20" x14ac:dyDescent="0.25">
      <c r="W114" s="53" t="s">
        <v>152</v>
      </c>
      <c r="X114" s="53">
        <f>V34*(1+(5*AB16))</f>
        <v>55607726.056164168</v>
      </c>
    </row>
    <row r="115" spans="23:24" ht="20" x14ac:dyDescent="0.25">
      <c r="W115" s="54" t="s">
        <v>153</v>
      </c>
      <c r="X115" s="55">
        <f>X113/X114</f>
        <v>488.60080448459615</v>
      </c>
    </row>
    <row r="116" spans="23:24" ht="20" x14ac:dyDescent="0.25">
      <c r="W116" s="53" t="s">
        <v>154</v>
      </c>
      <c r="X116" s="56" cm="1">
        <f t="array" ref="X116">_FV(A1,"Price",TRUE)</f>
        <v>321.35000000000002</v>
      </c>
    </row>
    <row r="117" spans="23:24" ht="20" x14ac:dyDescent="0.25">
      <c r="W117" s="54" t="s">
        <v>155</v>
      </c>
      <c r="X117" s="57">
        <f>X115/X116-1</f>
        <v>0.52046306047797142</v>
      </c>
    </row>
    <row r="118" spans="23:24" ht="20" x14ac:dyDescent="0.25">
      <c r="W118" s="54" t="s">
        <v>156</v>
      </c>
      <c r="X118" s="58" t="str">
        <f>IF(X115&gt;X116,"BUY","SELL")</f>
        <v>BUY</v>
      </c>
    </row>
  </sheetData>
  <mergeCells count="6">
    <mergeCell ref="W109:X109"/>
    <mergeCell ref="AC83:AD83"/>
    <mergeCell ref="AC84:AD84"/>
    <mergeCell ref="AC93:AD93"/>
    <mergeCell ref="AC98:AD98"/>
    <mergeCell ref="AC104:AD104"/>
  </mergeCells>
  <hyperlinks>
    <hyperlink ref="A1" r:id="rId1" tooltip="https://roic.ai/company/SMCI" display="ROIC.AI | SMC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375365/000119312507190775/0001193125-07-190775-index.html" xr:uid="{00000000-0004-0000-0000-000010000000}"/>
    <hyperlink ref="G74" r:id="rId13" tooltip="https://www.sec.gov/Archives/edgar/data/1375365/000119312507190775/0001193125-07-190775-index.html" xr:uid="{00000000-0004-0000-0000-000011000000}"/>
    <hyperlink ref="H36" r:id="rId14" tooltip="https://www.sec.gov/Archives/edgar/data/1375365/000119312508188476/0001193125-08-188476-index.html" xr:uid="{00000000-0004-0000-0000-000013000000}"/>
    <hyperlink ref="H74" r:id="rId15" tooltip="https://www.sec.gov/Archives/edgar/data/1375365/000119312508188476/0001193125-08-188476-index.html" xr:uid="{00000000-0004-0000-0000-000014000000}"/>
    <hyperlink ref="I36" r:id="rId16" tooltip="https://www.sec.gov/Archives/edgar/data/1375365/000119312509184698/0001193125-09-184698-index.html" xr:uid="{00000000-0004-0000-0000-000016000000}"/>
    <hyperlink ref="I74" r:id="rId17" tooltip="https://www.sec.gov/Archives/edgar/data/1375365/000119312509184698/0001193125-09-184698-index.html" xr:uid="{00000000-0004-0000-0000-000017000000}"/>
    <hyperlink ref="J36" r:id="rId18" tooltip="https://www.sec.gov/Archives/edgar/data/1375365/000119312510205667/0001193125-10-205667-index.html" xr:uid="{00000000-0004-0000-0000-000019000000}"/>
    <hyperlink ref="J74" r:id="rId19" tooltip="https://www.sec.gov/Archives/edgar/data/1375365/000119312510205667/0001193125-10-205667-index.html" xr:uid="{00000000-0004-0000-0000-00001A000000}"/>
    <hyperlink ref="K36" r:id="rId20" tooltip="https://www.sec.gov/Archives/edgar/data/1375365/000119312511240215/0001193125-11-240215-index.html" xr:uid="{00000000-0004-0000-0000-00001C000000}"/>
    <hyperlink ref="K74" r:id="rId21" tooltip="https://www.sec.gov/Archives/edgar/data/1375365/000119312511240215/0001193125-11-240215-index.html" xr:uid="{00000000-0004-0000-0000-00001D000000}"/>
    <hyperlink ref="L36" r:id="rId22" tooltip="https://www.sec.gov/Archives/edgar/data/1375365/000144530512002860/0001445305-12-002860-index.html" xr:uid="{00000000-0004-0000-0000-00001F000000}"/>
    <hyperlink ref="L74" r:id="rId23" tooltip="https://www.sec.gov/Archives/edgar/data/1375365/000144530512002860/0001445305-12-002860-index.html" xr:uid="{00000000-0004-0000-0000-000020000000}"/>
    <hyperlink ref="M36" r:id="rId24" tooltip="https://www.sec.gov/Archives/edgar/data/1375365/000144530513002262/0001445305-13-002262-index.html" xr:uid="{00000000-0004-0000-0000-000022000000}"/>
    <hyperlink ref="M74" r:id="rId25" tooltip="https://www.sec.gov/Archives/edgar/data/1375365/000144530513002262/0001445305-13-002262-index.html" xr:uid="{00000000-0004-0000-0000-000023000000}"/>
    <hyperlink ref="N36" r:id="rId26" tooltip="https://www.sec.gov/Archives/edgar/data/1375365/000144530514003958/0001445305-14-003958-index.html" xr:uid="{00000000-0004-0000-0000-000025000000}"/>
    <hyperlink ref="N74" r:id="rId27" tooltip="https://www.sec.gov/Archives/edgar/data/1375365/000144530514003958/0001445305-14-003958-index.html" xr:uid="{00000000-0004-0000-0000-000026000000}"/>
    <hyperlink ref="O36" r:id="rId28" tooltip="https://www.sec.gov/Archives/edgar/data/1375365/000162828015007025/0001628280-15-007025-index.html" xr:uid="{00000000-0004-0000-0000-000028000000}"/>
    <hyperlink ref="O74" r:id="rId29" tooltip="https://www.sec.gov/Archives/edgar/data/1375365/000162828015007025/0001628280-15-007025-index.html" xr:uid="{00000000-0004-0000-0000-000029000000}"/>
    <hyperlink ref="P36" r:id="rId30" tooltip="https://www.sec.gov/Archives/edgar/data/1375365/000162828016019274/smci-2016630x10k.htm" xr:uid="{00000000-0004-0000-0000-00002B000000}"/>
    <hyperlink ref="P74" r:id="rId31" tooltip="https://www.sec.gov/Archives/edgar/data/1375365/000162828016019274/smci-2016630x10k.htm" xr:uid="{00000000-0004-0000-0000-00002C000000}"/>
    <hyperlink ref="Q36" r:id="rId32" tooltip="https://www.sec.gov/Archives/edgar/data/1375365/000137536519000039/smci-2017630x10kxa.htm" xr:uid="{00000000-0004-0000-0000-00002E000000}"/>
    <hyperlink ref="Q74" r:id="rId33" tooltip="https://www.sec.gov/Archives/edgar/data/1375365/000137536519000039/smci-2017630x10kxa.htm" xr:uid="{00000000-0004-0000-0000-00002F000000}"/>
    <hyperlink ref="R36" r:id="rId34" tooltip="https://sec.gov" xr:uid="{00000000-0004-0000-0000-000031000000}"/>
    <hyperlink ref="R74" r:id="rId35" tooltip="https://sec.gov" xr:uid="{00000000-0004-0000-0000-000032000000}"/>
    <hyperlink ref="S36" r:id="rId36" tooltip="https://www.sec.gov/Archives/edgar/data/1375365/000137536519000079/smci-2019630x10k.htm" xr:uid="{00000000-0004-0000-0000-000034000000}"/>
    <hyperlink ref="S74" r:id="rId37" tooltip="https://www.sec.gov/Archives/edgar/data/1375365/000137536519000079/smci-2019630x10k.htm" xr:uid="{00000000-0004-0000-0000-000035000000}"/>
    <hyperlink ref="T36" r:id="rId38" tooltip="https://www.sec.gov/Archives/edgar/data/1375365/000137536520000064/0001375365-20-000064-index.htm" xr:uid="{00000000-0004-0000-0000-000037000000}"/>
    <hyperlink ref="T74" r:id="rId39" tooltip="https://www.sec.gov/Archives/edgar/data/1375365/000137536520000064/0001375365-20-000064-index.htm" xr:uid="{00000000-0004-0000-0000-000038000000}"/>
    <hyperlink ref="U36" r:id="rId40" tooltip="https://www.sec.gov/Archives/edgar/data/1375365/000137536521000060/0001375365-21-000060-index.htm" xr:uid="{00000000-0004-0000-0000-00003A000000}"/>
    <hyperlink ref="U74" r:id="rId41" tooltip="https://www.sec.gov/Archives/edgar/data/1375365/000137536521000060/0001375365-21-000060-index.htm" xr:uid="{00000000-0004-0000-0000-00003B000000}"/>
    <hyperlink ref="V36" r:id="rId42" tooltip="https://www.sec.gov/Archives/edgar/data/1375365/000137536522000103/0001375365-22-000103-index.htm" xr:uid="{00000000-0004-0000-0000-00003D000000}"/>
    <hyperlink ref="V74" r:id="rId43" tooltip="https://www.sec.gov/Archives/edgar/data/1375365/000137536522000103/0001375365-22-000103-index.htm" xr:uid="{00000000-0004-0000-0000-00003E000000}"/>
    <hyperlink ref="W1" r:id="rId44" display="https://finbox.com/NASDAQGS:SMCI/explorer/revenue_proj" xr:uid="{AD4FD872-616A-5C45-B4FA-AC5193683BA7}"/>
    <hyperlink ref="AB106" r:id="rId45" xr:uid="{37BD8B5A-81A9-BB4D-A807-8761207444B8}"/>
  </hyperlinks>
  <pageMargins left="0.7" right="0.7" top="0.75" bottom="0.75" header="0.3" footer="0.3"/>
  <drawing r:id="rId4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2023-03-13T04:15:10Z</dcterms:created>
  <dcterms:modified xsi:type="dcterms:W3CDTF">2023-07-29T06:10:02Z</dcterms:modified>
</cp:coreProperties>
</file>