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1F99F20-EBE9-0F47-AC59-35B06865A2B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6" i="1" l="1"/>
  <c r="AE106" i="1"/>
  <c r="AD106" i="1"/>
  <c r="AC106" i="1"/>
  <c r="AB106" i="1"/>
  <c r="AB31" i="1"/>
  <c r="AF28" i="1"/>
  <c r="AF31" i="1" s="1"/>
  <c r="AE28" i="1"/>
  <c r="AD28" i="1"/>
  <c r="AC28" i="1"/>
  <c r="AB28" i="1"/>
  <c r="AF19" i="1"/>
  <c r="AE19" i="1"/>
  <c r="AE21" i="1"/>
  <c r="AD19" i="1"/>
  <c r="AD21" i="1" s="1"/>
  <c r="AC19" i="1"/>
  <c r="AB19" i="1"/>
  <c r="AF3" i="1"/>
  <c r="AE3" i="1"/>
  <c r="AD3" i="1"/>
  <c r="AC3" i="1"/>
  <c r="AC21" i="1" s="1"/>
  <c r="AB3" i="1"/>
  <c r="AB30" i="1" s="1"/>
  <c r="AC31" i="1"/>
  <c r="AD31" i="1"/>
  <c r="AE31" i="1"/>
  <c r="AE29" i="1"/>
  <c r="AC30" i="1"/>
  <c r="AD30" i="1"/>
  <c r="AB2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F21" i="1" l="1"/>
  <c r="AF30" i="1"/>
  <c r="AF29" i="1"/>
  <c r="AE30" i="1"/>
  <c r="AC29" i="1"/>
  <c r="AD29" i="1"/>
  <c r="AB21" i="1"/>
  <c r="AF20" i="1"/>
  <c r="AD20" i="1"/>
  <c r="AC20" i="1"/>
  <c r="AB20" i="1"/>
  <c r="AE20" i="1"/>
  <c r="AC116" i="1" a="1"/>
  <c r="AC116" i="1" s="1"/>
  <c r="AI95" i="1" a="1"/>
  <c r="AI95" i="1" s="1"/>
  <c r="AI101" i="1" a="1"/>
  <c r="AI101"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102" i="1" l="1"/>
  <c r="AJ22" i="1"/>
  <c r="AJ19" i="1"/>
  <c r="AI19" i="1"/>
  <c r="AI22" i="1"/>
  <c r="AH19" i="1"/>
  <c r="AI106" i="1"/>
  <c r="AB105" i="1" s="1"/>
  <c r="AC105" i="1" s="1"/>
  <c r="AD105" i="1" s="1"/>
  <c r="AE105" i="1" s="1"/>
  <c r="AF105" i="1" s="1"/>
  <c r="AJ16" i="1"/>
  <c r="AI16" i="1"/>
  <c r="AH16" i="1"/>
  <c r="AC108" i="1"/>
  <c r="AI92" i="1"/>
  <c r="AI103" i="1"/>
  <c r="AI102" i="1" s="1"/>
  <c r="AC112" i="1"/>
  <c r="AB108" i="1"/>
  <c r="AD108" i="1" l="1"/>
  <c r="AI100" i="1"/>
  <c r="AE108" i="1" l="1"/>
  <c r="AI94" i="1" l="1"/>
  <c r="AI97" i="1" s="1"/>
  <c r="AI105" i="1" s="1"/>
  <c r="AI108" i="1" s="1"/>
  <c r="AF107" i="1" s="1"/>
  <c r="AF108" i="1" s="1"/>
  <c r="AC110" i="1" s="1"/>
  <c r="AC113" i="1" s="1"/>
  <c r="AC115" i="1" s="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<sst xmlns="http://schemas.openxmlformats.org/spreadsheetml/2006/main" count="668" uniqueCount="169">
  <si>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</si>
  <si>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</si>
  <si>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</si>
  <si>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</si>
  <si>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</si>
  <si>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</si>
  <si>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</si>
  <si>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</si>
  <si>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</si>
  <si>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</si>
  <si>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</si>
  <si>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</si>
  <si>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</si>
  <si>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</si>
  <si>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</si>
  <si>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</si>
  <si>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</si>
  <si>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</si>
  <si>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</si>
  <si>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</si>
  <si>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</si>
  <si>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</si>
  <si>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</si>
  <si>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</si>
  <si>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</si>
  <si>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</si>
  <si>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</si>
  <si>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</si>
  <si>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</si>
  <si>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</si>
  <si>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</si>
  <si>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</si>
  <si>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</si>
  <si>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</si>
  <si>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</si>
  <si>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</si>
  <si>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</si>
  <si>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</si>
  <si>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</si>
  <si>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</si>
  <si>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</si>
  <si>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</si>
  <si>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</si>
  <si>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</si>
  <si>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</si>
  <si>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</si>
  <si>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</si>
  <si>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</si>
  <si>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</si>
  <si>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</si>
  <si>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</si>
  <si>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</si>
  <si>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</si>
  <si>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</si>
  <si>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</si>
  <si>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</si>
  <si>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</si>
  <si>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</si>
  <si>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</si>
  <si>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</si>
  <si>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</si>
  <si>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</si>
  <si>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</si>
  <si>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</si>
  <si>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</si>
  <si>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</si>
  <si>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</si>
  <si>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</si>
  <si>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</si>
  <si>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</si>
  <si>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</si>
  <si>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</si>
  <si>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</si>
  <si>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</si>
  <si>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</si>
  <si>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</si>
  <si>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</si>
  <si>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</si>
  <si>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</si>
  <si>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</si>
  <si>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</si>
  <si>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</si>
  <si>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</si>
  <si>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</si>
  <si>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</si>
  <si>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</si>
  <si>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</si>
  <si>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</si>
  <si>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</si>
  <si>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</si>
  <si>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</si>
  <si>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</si>
  <si>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</si>
  <si>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</si>
  <si>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</si>
  <si>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</si>
  <si>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</si>
  <si>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</si>
  <si>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</si>
  <si>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</si>
  <si>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</si>
  <si>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</si>
  <si>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</si>
  <si>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</si>
  <si>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</si>
  <si>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</si>
  <si>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</si>
  <si>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</si>
  <si>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</si>
  <si>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</si>
  <si>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</si>
  <si>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</si>
  <si>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</si>
  <si>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</si>
  <si>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</si>
  <si>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</si>
  <si>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</si>
  <si>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</si>
  <si>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</si>
  <si>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</si>
  <si>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</si>
  <si>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</si>
  <si>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</si>
  <si>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</si>
  <si>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</si>
  <si>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</si>
  <si>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</si>
  <si>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</si>
  <si>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</si>
  <si>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</si>
  <si>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</si>
  <si>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</si>
  <si>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</si>
  <si>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</si>
  <si>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</si>
  <si>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</si>
  <si>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</si>
  <si>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</si>
  <si>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</si>
  <si>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</si>
  <si>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</si>
  <si>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</si>
  <si>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</si>
  <si>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</si>
  <si>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</si>
  <si>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</si>
  <si>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</si>
  <si>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</si>
  <si>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</si>
  <si>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</si>
  <si>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</si>
  <si>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</si>
  <si>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</si>
  <si>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</si>
  <si>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</si>
  <si>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</si>
  <si>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</si>
  <si>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</si>
  <si>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</si>
  <si>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</si>
  <si>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</si>
  <si>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</si>
  <si>
    <t>Unlevered FCF</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</si>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</sst>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0" fontId="12" fillId="7" borderId="0" xfId="0" applyFont="1" applyFill="1" applyAlignment="1">
      <alignment horizontal="center"/>
    </xf>
    <xf numFmtId="0" fontId="1" fillId="7" borderId="0" xfId="0"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1"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a:t>
            </a:r>
            <a:r>
              <a:rPr lang="en-US" sz="2400" baseline="0"/>
              <a:t> Semiconductor</a:t>
            </a:r>
          </a:p>
        </c:rich>
      </c:tx>
      <c:layout>
        <c:manualLayout>
          <c:xMode val="edge"/>
          <c:yMode val="edge"/>
          <c:x val="0.34696191547726069"/>
          <c:y val="2.5661587810745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597861831331"/>
          <c:y val="0.16978550095031225"/>
          <c:w val="0.82927781781021126"/>
          <c:h val="0.6456879818651377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layout>
        <c:manualLayout>
          <c:xMode val="edge"/>
          <c:yMode val="edge"/>
          <c:x val="0.36694422681357836"/>
          <c:y val="0.90858539234319846"/>
          <c:w val="0.28208492407667013"/>
          <c:h val="6.57530198460557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xdr:colOff>
      <xdr:row>108</xdr:row>
      <xdr:rowOff>41275</xdr:rowOff>
    </xdr:from>
    <xdr:to>
      <xdr:col>34</xdr:col>
      <xdr:colOff>1587500</xdr:colOff>
      <xdr:row>125</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1.3632</v>
    <v>-3</v>
    <v>-5.2719999999999998E-3</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571</v>
    <v>Semiconductors &amp; Semiconductor Equipment</v>
    <v>Stock</v>
    <v>45133.200138888889</v>
    <v>0</v>
    <v>565</v>
    <v>14470100000000</v>
    <v>Taiwan Semiconductor Manufacturing Co., Ltd.</v>
    <v>Taiwan Semiconductor Manufacturing Co., Ltd.</v>
    <v>569</v>
    <v>15.2</v>
    <v>569</v>
    <v>566</v>
    <v>25932070000</v>
    <v>2330</v>
    <v>Taiwan Semiconductor Manufacturing Co., Ltd. (XTAI:2330)</v>
    <v>7938000</v>
    <v>24289860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1.0634999999999999</v>
    <v>2.0699999999999998</v>
    <v>2.1069000000000001E-2</v>
    <v>-7.0000000000000007E-2</v>
    <v>-6.9779999999999994E-4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100.89</v>
    <v>Semiconductors &amp; Semiconductor Equipment</v>
    <v>Stock</v>
    <v>45132.999875173438</v>
    <v>3</v>
    <v>99.11</v>
    <v>461978700000</v>
    <v>Taiwan Semiconductor Manufacturing Co., Ltd.</v>
    <v>Taiwan Semiconductor Manufacturing Co., Ltd.</v>
    <v>99.515000000000001</v>
    <v>16.426300000000001</v>
    <v>98.25</v>
    <v>100.32</v>
    <v>100.25</v>
    <v>5186414000</v>
    <v>TSM</v>
    <v>Taiwan Semiconductor Manufacturing Co., Ltd. (XNYS:TSM)</v>
    <v>9202222</v>
    <v>9967901</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3" activePane="bottomRight" state="frozen"/>
      <selection pane="topRight"/>
      <selection pane="bottomLeft"/>
      <selection pane="bottomRight" activeCell="AA116" sqref="AA116"/>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69137000000/$AJ$100</f>
        <v>2095060606060.606</v>
      </c>
      <c r="AC3" s="24">
        <f>84171000000/$AJ$100</f>
        <v>2550636363636.3633</v>
      </c>
      <c r="AD3" s="24">
        <f>97481000000/$AJ$100</f>
        <v>2953969696969.6968</v>
      </c>
      <c r="AE3" s="24">
        <f>103000000000/$AJ$100</f>
        <v>3121212121212.1211</v>
      </c>
      <c r="AF3" s="24">
        <f>113400000000/$AJ$100</f>
        <v>3436363636363.6362</v>
      </c>
      <c r="AG3" s="18" t="s">
        <v>108</v>
      </c>
      <c r="AH3" s="19" t="s">
        <v>109</v>
      </c>
      <c r="AI3" s="19" t="s">
        <v>110</v>
      </c>
      <c r="AJ3" s="19" t="s">
        <v>111</v>
      </c>
    </row>
    <row r="4" spans="1:36" ht="19" x14ac:dyDescent="0.25">
      <c r="A4" s="14" t="s">
        <v>93</v>
      </c>
      <c r="B4" s="68"/>
      <c r="C4" s="69">
        <f>(C3/B3)-1</f>
        <v>0.14269167753701462</v>
      </c>
      <c r="D4" s="69">
        <f>(D3/C3)-1</f>
        <v>0.4516735458392942</v>
      </c>
      <c r="E4" s="69">
        <f>(E3/D3)-1</f>
        <v>1.2743145641259042</v>
      </c>
      <c r="F4" s="69">
        <f t="shared" ref="F4:AF4" si="0">(F3/E3)-1</f>
        <v>-0.21655069111953185</v>
      </c>
      <c r="G4" s="69">
        <f t="shared" si="0"/>
        <v>0.24865014498486815</v>
      </c>
      <c r="H4" s="69">
        <f t="shared" si="0"/>
        <v>0.24642778619370009</v>
      </c>
      <c r="I4" s="69">
        <f t="shared" si="0"/>
        <v>0.27127869200966415</v>
      </c>
      <c r="J4" s="69">
        <f t="shared" si="0"/>
        <v>3.7807205884977435E-2</v>
      </c>
      <c r="K4" s="69">
        <f t="shared" si="0"/>
        <v>0.18699401684619166</v>
      </c>
      <c r="L4" s="69">
        <f t="shared" si="0"/>
        <v>1.6665747011531451E-2</v>
      </c>
      <c r="M4" s="69">
        <f t="shared" si="0"/>
        <v>3.5387533504990243E-2</v>
      </c>
      <c r="N4" s="69">
        <f t="shared" si="0"/>
        <v>-0.11471593392458146</v>
      </c>
      <c r="O4" s="69">
        <f t="shared" si="0"/>
        <v>0.41859328834369935</v>
      </c>
      <c r="P4" s="69">
        <f t="shared" si="0"/>
        <v>1.7978590253705296E-2</v>
      </c>
      <c r="Q4" s="69">
        <f t="shared" si="0"/>
        <v>0.18531162501879028</v>
      </c>
      <c r="R4" s="69">
        <f t="shared" si="0"/>
        <v>0.17932727751136057</v>
      </c>
      <c r="S4" s="69">
        <f t="shared" si="0"/>
        <v>0.2777735064446043</v>
      </c>
      <c r="T4" s="69">
        <f t="shared" si="0"/>
        <v>0.10576009228732297</v>
      </c>
      <c r="U4" s="69">
        <f t="shared" si="0"/>
        <v>0.12376425956936021</v>
      </c>
      <c r="V4" s="69">
        <f t="shared" si="0"/>
        <v>3.1156359701963066E-2</v>
      </c>
      <c r="W4" s="69">
        <f t="shared" si="0"/>
        <v>5.5163546176522305E-2</v>
      </c>
      <c r="X4" s="69">
        <f t="shared" si="0"/>
        <v>3.745242455169473E-2</v>
      </c>
      <c r="Y4" s="69">
        <f t="shared" si="0"/>
        <v>0.25163786761132445</v>
      </c>
      <c r="Z4" s="69">
        <f t="shared" si="0"/>
        <v>0.18531165285346862</v>
      </c>
      <c r="AA4" s="69">
        <f t="shared" si="0"/>
        <v>0.42614961556996755</v>
      </c>
      <c r="AB4" s="16">
        <f t="shared" si="0"/>
        <v>-7.4575438553961315E-2</v>
      </c>
      <c r="AC4" s="16">
        <f t="shared" si="0"/>
        <v>0.21745230484400535</v>
      </c>
      <c r="AD4" s="16">
        <f t="shared" si="0"/>
        <v>0.15813047249052525</v>
      </c>
      <c r="AE4" s="16">
        <f t="shared" si="0"/>
        <v>5.6616161098060225E-2</v>
      </c>
      <c r="AF4" s="16">
        <f t="shared" si="0"/>
        <v>0.10097087378640768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19" t="s">
        <v>113</v>
      </c>
      <c r="AI6" s="19" t="s">
        <v>114</v>
      </c>
      <c r="AJ6" s="19"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58">
        <f>AI101/AA3</f>
        <v>6.3916938287335396</v>
      </c>
      <c r="AI16" s="58">
        <f>AI101/AA28</f>
        <v>14.234795289402156</v>
      </c>
      <c r="AJ16" s="60">
        <f>AI101/AA107</f>
        <v>27.77515810558776</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164</v>
      </c>
      <c r="AI18" s="19" t="s">
        <v>165</v>
      </c>
      <c r="AJ18" s="19" t="s">
        <v>166</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63">
        <f>46627000000/$AJ$100</f>
        <v>1412939393939.3938</v>
      </c>
      <c r="AC19" s="63">
        <f>58458000000/$AJ$100</f>
        <v>1771454545454.5454</v>
      </c>
      <c r="AD19" s="63">
        <f>68190000000/$AJ$100</f>
        <v>2066363636363.6362</v>
      </c>
      <c r="AE19" s="63">
        <f>71728000000/$AJ$100</f>
        <v>2173575757575.7576</v>
      </c>
      <c r="AF19" s="63">
        <f>78874000000/$AJ$100</f>
        <v>2390121212121.2119</v>
      </c>
      <c r="AG19" s="26">
        <f>AA40-AA56-AA61</f>
        <v>698325653000</v>
      </c>
      <c r="AH19" s="58">
        <f>AI101/AB3</f>
        <v>6.9067691684626178</v>
      </c>
      <c r="AI19" s="59">
        <f>AI101/AB28</f>
        <v>18.613600218289548</v>
      </c>
      <c r="AJ19" s="60">
        <f>AI101/AB106</f>
        <v>39.999438766962641</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-0.11293478437658155</v>
      </c>
      <c r="AC20" s="16">
        <f t="shared" ref="AC20" si="5">(AC19/AB19)-1</f>
        <v>0.25373710511077285</v>
      </c>
      <c r="AD20" s="16">
        <f t="shared" ref="AD20" si="6">(AD19/AC19)-1</f>
        <v>0.16647849738273623</v>
      </c>
      <c r="AE20" s="16">
        <f t="shared" ref="AE20" si="7">(AE19/AD19)-1</f>
        <v>5.1884440533802589E-2</v>
      </c>
      <c r="AF20" s="16">
        <f t="shared" ref="AF20" si="8">(AF19/AE19)-1</f>
        <v>9.9626366272585143E-2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64">
        <f>AB19/AB3</f>
        <v>0.6744145681762298</v>
      </c>
      <c r="AC21" s="64">
        <f t="shared" ref="AC21:AF21" si="9">AC19/AC3</f>
        <v>0.69451473785508078</v>
      </c>
      <c r="AD21" s="64">
        <f t="shared" si="9"/>
        <v>0.69952093228424006</v>
      </c>
      <c r="AE21" s="64">
        <f t="shared" si="9"/>
        <v>0.69638834951456308</v>
      </c>
      <c r="AF21" s="64">
        <f t="shared" si="9"/>
        <v>0.69553791887125216</v>
      </c>
      <c r="AI21" s="18" t="s">
        <v>167</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I22" s="61">
        <f>(-1*AA98)/AI101</f>
        <v>1.9711970546160702E-2</v>
      </c>
      <c r="AJ22" s="62">
        <f>AA107/AI101</f>
        <v>3.6003395415373771E-2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65">
        <f>25654000000/$AJ$100</f>
        <v>777393939393.93933</v>
      </c>
      <c r="AC28" s="65">
        <f>31695000000/$AJ$100</f>
        <v>960454545454.54541</v>
      </c>
      <c r="AD28" s="65">
        <f>37545000000/$AJ$100</f>
        <v>1137727272727.2727</v>
      </c>
      <c r="AE28" s="65">
        <f>36734000000/$AJ$100</f>
        <v>1113151515151.5151</v>
      </c>
      <c r="AF28" s="65">
        <f>40534000000/$AJ$100</f>
        <v>1228303030303.0303</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-0.23524760806804157</v>
      </c>
      <c r="AC29" s="16">
        <f t="shared" ref="AC29" si="12">(AC28/AB28)-1</f>
        <v>0.23547984719731829</v>
      </c>
      <c r="AD29" s="16">
        <f t="shared" ref="AD29" si="13">(AD28/AC28)-1</f>
        <v>0.18457169900615233</v>
      </c>
      <c r="AE29" s="16">
        <f t="shared" ref="AE29" si="14">(AE28/AD28)-1</f>
        <v>-2.1600745771740537E-2</v>
      </c>
      <c r="AF29" s="16">
        <f t="shared" ref="AF29" si="15">(AF28/AE28)-1</f>
        <v>0.10344639843197045</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66">
        <f>AB28/AB3</f>
        <v>0.37106035841879165</v>
      </c>
      <c r="AC30" s="66">
        <f t="shared" ref="AC30:AF30" si="16">AC28/AC3</f>
        <v>0.37655487044231389</v>
      </c>
      <c r="AD30" s="66">
        <f t="shared" si="16"/>
        <v>0.38515197833423953</v>
      </c>
      <c r="AE30" s="66">
        <f t="shared" si="16"/>
        <v>0.35664077669902916</v>
      </c>
      <c r="AF30" s="66">
        <f t="shared" si="16"/>
        <v>0.3574426807760141</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67">
        <f>AB28/$AA$33</f>
        <v>149.90022116797735</v>
      </c>
      <c r="AC31" s="67">
        <f t="shared" ref="AC31:AF31" si="17">AC28/$AA$33</f>
        <v>185.19870234345686</v>
      </c>
      <c r="AD31" s="67">
        <f t="shared" si="17"/>
        <v>219.38114148872342</v>
      </c>
      <c r="AE31" s="67">
        <f t="shared" si="17"/>
        <v>214.64234522431124</v>
      </c>
      <c r="AF31" s="67">
        <f t="shared" si="17"/>
        <v>236.84632278875787</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102</v>
      </c>
      <c r="B35" s="1"/>
      <c r="C35" s="22">
        <f>(C34-B34)/B34</f>
        <v>2.235835554819213E-2</v>
      </c>
      <c r="D35" s="22">
        <f t="shared" ref="D35:AA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71" t="s">
        <v>125</v>
      </c>
      <c r="AI83" s="72"/>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3" t="s">
        <v>126</v>
      </c>
      <c r="AI84" s="73"/>
    </row>
    <row r="85" spans="1:35" ht="20"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32" t="s">
        <v>127</v>
      </c>
      <c r="AI85" s="33">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32" t="s">
        <v>128</v>
      </c>
      <c r="AI86" s="33">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32" t="s">
        <v>129</v>
      </c>
      <c r="AI87" s="33">
        <f>AA61</f>
        <v>868860583000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4" t="s">
        <v>130</v>
      </c>
      <c r="AI88" s="35">
        <f>AI85/(AI86+AI87)</f>
        <v>1.3229364691760698E-2</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H89" s="32" t="s">
        <v>105</v>
      </c>
      <c r="AI89" s="33">
        <f>AA27</f>
        <v>127290203000</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H90" s="32" t="s">
        <v>19</v>
      </c>
      <c r="AI90" s="33">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4" t="s">
        <v>131</v>
      </c>
      <c r="AI91" s="35">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4" t="s">
        <v>132</v>
      </c>
      <c r="AI92" s="35">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3" t="s">
        <v>133</v>
      </c>
      <c r="AI93" s="73"/>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32" t="s">
        <v>134</v>
      </c>
      <c r="AI94" s="36">
        <f>[1]Treasuries!$C$8</f>
        <v>3.9120000000000002E-2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7" t="s">
        <v>135</v>
      </c>
      <c r="AI95" s="38" cm="1">
        <f t="array" ref="AI95">_FV(A1,"Beta")</f>
        <v>1.3632</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32" t="s">
        <v>136</v>
      </c>
      <c r="AI96" s="39">
        <v>8.4000000000000005E-2</v>
      </c>
    </row>
    <row r="97" spans="1:36"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H97" s="34" t="s">
        <v>137</v>
      </c>
      <c r="AI97" s="35">
        <f>(AI94)+((AI95)*(AI96-AI94))</f>
        <v>0.100300416</v>
      </c>
    </row>
    <row r="98" spans="1:36" ht="19"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3" t="s">
        <v>138</v>
      </c>
      <c r="AI98" s="73"/>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32" t="s">
        <v>139</v>
      </c>
      <c r="AI99" s="33">
        <f>AI86+AI87</f>
        <v>888174472000</v>
      </c>
      <c r="AJ99" s="40" t="s">
        <v>156</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4" t="s">
        <v>140</v>
      </c>
      <c r="AI100" s="35">
        <f>AI99/AI103</f>
        <v>5.7830355462083316E-2</v>
      </c>
      <c r="AJ100" s="41">
        <v>3.3000000000000002E-2</v>
      </c>
    </row>
    <row r="101" spans="1:36"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7" t="s">
        <v>141</v>
      </c>
      <c r="AI101" s="42" cm="1">
        <f t="array" ref="AI101">_FV(A1,"Market cap",TRUE)</f>
        <v>14470100000000</v>
      </c>
      <c r="AJ101" s="40" t="s">
        <v>157</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4" t="s">
        <v>142</v>
      </c>
      <c r="AI102" s="35">
        <f>AI101/AI103</f>
        <v>0.94216964453791663</v>
      </c>
      <c r="AJ102" s="33">
        <f>AI101*AJ100</f>
        <v>477513300000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4" t="s">
        <v>143</v>
      </c>
      <c r="AI103" s="43">
        <f>AI99+AI101</f>
        <v>15358274472000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3" t="s">
        <v>144</v>
      </c>
      <c r="AI104" s="73"/>
    </row>
    <row r="105" spans="1:36" ht="21" thickTop="1" x14ac:dyDescent="0.25">
      <c r="A105" s="14" t="s">
        <v>162</v>
      </c>
      <c r="B105" s="1">
        <f t="shared" ref="B105:Z105" si="21">(B22*(1-$AI$91))+B77+B88+B81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(AA22*(1-$AI$91))+AA77+AA88+AA81</f>
        <v>473628314891.33008</v>
      </c>
      <c r="AB105" s="27">
        <f>AA105*(1+$AI$106)</f>
        <v>517068970974.85345</v>
      </c>
      <c r="AC105" s="27">
        <f t="shared" ref="AC105:AF105" si="22">AB105*(1+$AI$106)</f>
        <v>564493955152.02112</v>
      </c>
      <c r="AD105" s="27">
        <f t="shared" si="22"/>
        <v>616268705512.14929</v>
      </c>
      <c r="AE105" s="27">
        <f t="shared" si="22"/>
        <v>672792177714.89087</v>
      </c>
      <c r="AF105" s="27">
        <f t="shared" si="22"/>
        <v>734499919184.07031</v>
      </c>
      <c r="AG105" s="28" t="s">
        <v>160</v>
      </c>
      <c r="AH105" s="44" t="s">
        <v>107</v>
      </c>
      <c r="AI105" s="45">
        <f>(AI100*AI92)+(AI102*AI97)</f>
        <v>9.5179954032175815E-2</v>
      </c>
    </row>
    <row r="106" spans="1:36" ht="19" x14ac:dyDescent="0.25">
      <c r="A106" s="14" t="s">
        <v>106</v>
      </c>
      <c r="B106" s="1"/>
      <c r="C106" s="15">
        <f t="shared" ref="C106:AA106" si="23">(C107/B107)-1</f>
        <v>-0.66023844690773537</v>
      </c>
      <c r="D106" s="15">
        <f t="shared" si="23"/>
        <v>-4.716021352464761</v>
      </c>
      <c r="E106" s="15">
        <f t="shared" si="23"/>
        <v>-2.0633066879522239</v>
      </c>
      <c r="F106" s="15">
        <f t="shared" si="23"/>
        <v>-1.3540175301892403</v>
      </c>
      <c r="G106" s="15">
        <f t="shared" si="23"/>
        <v>10.830968261796651</v>
      </c>
      <c r="H106" s="15">
        <f t="shared" si="23"/>
        <v>1.6720148824889343</v>
      </c>
      <c r="I106" s="15">
        <f t="shared" si="23"/>
        <v>-0.37688644544148509</v>
      </c>
      <c r="J106" s="15">
        <f t="shared" si="23"/>
        <v>7.1969148897544022E-2</v>
      </c>
      <c r="K106" s="15">
        <f t="shared" si="23"/>
        <v>0.63174925618738054</v>
      </c>
      <c r="L106" s="15">
        <f t="shared" si="23"/>
        <v>-0.20966073965313869</v>
      </c>
      <c r="M106" s="15">
        <f t="shared" si="23"/>
        <v>0.63082925717436633</v>
      </c>
      <c r="N106" s="15">
        <f t="shared" si="23"/>
        <v>-0.55638676946104537</v>
      </c>
      <c r="O106" s="15">
        <f t="shared" si="23"/>
        <v>-0.41076868726751314</v>
      </c>
      <c r="P106" s="15">
        <f t="shared" si="23"/>
        <v>-0.20942311128666691</v>
      </c>
      <c r="Q106" s="15">
        <f t="shared" si="23"/>
        <v>0.27664054484081557</v>
      </c>
      <c r="R106" s="15">
        <f t="shared" si="23"/>
        <v>0.32874641246412462</v>
      </c>
      <c r="S106" s="15">
        <f t="shared" si="23"/>
        <v>1.2638157168078292</v>
      </c>
      <c r="T106" s="15">
        <f t="shared" si="23"/>
        <v>1.0761305781565347</v>
      </c>
      <c r="U106" s="15">
        <f t="shared" si="23"/>
        <v>-0.2288051978765937</v>
      </c>
      <c r="V106" s="15">
        <f t="shared" si="23"/>
        <v>0.20648454176217679</v>
      </c>
      <c r="W106" s="15">
        <f t="shared" si="23"/>
        <v>7.3864499696707497E-3</v>
      </c>
      <c r="X106" s="15">
        <f t="shared" si="23"/>
        <v>-0.4213977596398486</v>
      </c>
      <c r="Y106" s="15">
        <f t="shared" si="23"/>
        <v>1.0716606619867304</v>
      </c>
      <c r="Z106" s="15">
        <f t="shared" si="23"/>
        <v>-0.12771733085606274</v>
      </c>
      <c r="AA106" s="15">
        <f t="shared" si="23"/>
        <v>0.98296363145700649</v>
      </c>
      <c r="AB106" s="30">
        <f>11938000000/$AJ$100</f>
        <v>361757575757.57574</v>
      </c>
      <c r="AC106" s="30">
        <f>24545000000/$AJ$100</f>
        <v>743787878787.87878</v>
      </c>
      <c r="AD106" s="30">
        <f>30919000000/$AJ$100</f>
        <v>936939393939.39392</v>
      </c>
      <c r="AE106" s="30">
        <f>25938000000/$AJ$100</f>
        <v>786000000000</v>
      </c>
      <c r="AF106" s="30">
        <f>31576000000/$AJ$100</f>
        <v>956848484848.48486</v>
      </c>
      <c r="AG106" s="28" t="s">
        <v>161</v>
      </c>
      <c r="AH106" s="46" t="s">
        <v>145</v>
      </c>
      <c r="AI106" s="47">
        <f>(SUM(AB4:AF4)/5)</f>
        <v>9.1718874733007438E-2</v>
      </c>
    </row>
    <row r="107" spans="1:36" ht="19" x14ac:dyDescent="0.25">
      <c r="A107" s="57" t="s">
        <v>163</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28"/>
      <c r="AC107" s="28"/>
      <c r="AD107" s="28"/>
      <c r="AE107" s="28"/>
      <c r="AF107" s="31">
        <f>AF106*(1+AI107)/(AI108-AI107)</f>
        <v>13975068956586.061</v>
      </c>
      <c r="AG107" s="29" t="s">
        <v>146</v>
      </c>
      <c r="AH107" s="48" t="s">
        <v>147</v>
      </c>
      <c r="AI107" s="49">
        <v>2.5000000000000001E-2</v>
      </c>
    </row>
    <row r="108" spans="1:36" ht="19" x14ac:dyDescent="0.25">
      <c r="AB108" s="31">
        <f t="shared" ref="AB108:AD108" si="24">AB107+AB106</f>
        <v>361757575757.57574</v>
      </c>
      <c r="AC108" s="31">
        <f t="shared" si="24"/>
        <v>743787878787.87878</v>
      </c>
      <c r="AD108" s="31">
        <f t="shared" si="24"/>
        <v>936939393939.39392</v>
      </c>
      <c r="AE108" s="31">
        <f>AE107+AE106</f>
        <v>786000000000</v>
      </c>
      <c r="AF108" s="31">
        <f>AF107+AF106</f>
        <v>14931917441434.545</v>
      </c>
      <c r="AG108" s="29" t="s">
        <v>143</v>
      </c>
      <c r="AH108" s="50" t="s">
        <v>148</v>
      </c>
      <c r="AI108" s="47">
        <f>AI105</f>
        <v>9.5179954032175815E-2</v>
      </c>
    </row>
    <row r="109" spans="1:36" ht="19" x14ac:dyDescent="0.25">
      <c r="AB109" s="70" t="s">
        <v>149</v>
      </c>
      <c r="AC109" s="70"/>
    </row>
    <row r="110" spans="1:36" ht="20" x14ac:dyDescent="0.25">
      <c r="AB110" s="51" t="s">
        <v>150</v>
      </c>
      <c r="AC110" s="42">
        <f>NPV(AI108,AB108,AC108,AD108,AE108,AF108)</f>
        <v>11687452122074.994</v>
      </c>
    </row>
    <row r="111" spans="1:36" ht="20" x14ac:dyDescent="0.25">
      <c r="AB111" s="51" t="s">
        <v>151</v>
      </c>
      <c r="AC111" s="42">
        <f>AA40</f>
        <v>1586500125000</v>
      </c>
    </row>
    <row r="112" spans="1:36" ht="20" x14ac:dyDescent="0.25">
      <c r="AB112" s="51" t="s">
        <v>139</v>
      </c>
      <c r="AC112" s="42">
        <f>AI99</f>
        <v>888174472000</v>
      </c>
    </row>
    <row r="113" spans="28:29" ht="20" x14ac:dyDescent="0.25">
      <c r="AB113" s="51" t="s">
        <v>152</v>
      </c>
      <c r="AC113" s="42">
        <f>AC110+AC111-AC112</f>
        <v>12385777775074.994</v>
      </c>
    </row>
    <row r="114" spans="28:29" ht="20" x14ac:dyDescent="0.25">
      <c r="AB114" s="51" t="s">
        <v>153</v>
      </c>
      <c r="AC114" s="51">
        <f>AA34*(1+(5*AG16))</f>
        <v>5186076000</v>
      </c>
    </row>
    <row r="115" spans="28:29" ht="20" x14ac:dyDescent="0.25">
      <c r="AB115" s="52" t="s">
        <v>159</v>
      </c>
      <c r="AC115" s="53">
        <f>AC113/AC114*AJ100</f>
        <v>78.81308846562888</v>
      </c>
    </row>
    <row r="116" spans="28:29" ht="20" x14ac:dyDescent="0.25">
      <c r="AB116" s="51" t="s">
        <v>158</v>
      </c>
      <c r="AC116" s="54" cm="1">
        <f t="array" ref="AC116">_FV(AJ98,"Price")</f>
        <v>100.32</v>
      </c>
    </row>
    <row r="117" spans="28:29" ht="20" x14ac:dyDescent="0.25">
      <c r="AB117" s="52" t="s">
        <v>154</v>
      </c>
      <c r="AC117" s="55">
        <f>AC115/AC116-1</f>
        <v>-0.21438308945744733</v>
      </c>
    </row>
    <row r="118" spans="28:29" ht="20" x14ac:dyDescent="0.25">
      <c r="AB118" s="52" t="s">
        <v>155</v>
      </c>
      <c r="AC118" s="56"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2023-03-14T06:02:17Z</dcterms:created>
  <dcterms:modified xsi:type="dcterms:W3CDTF">2023-07-29T06:11:55Z</dcterms:modified>
</cp:coreProperties>
</file>