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908241C-D70E-5743-8151-3922425F992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9" i="1" l="1"/>
  <c r="Y105" i="1"/>
  <c r="Z105" i="1" s="1"/>
  <c r="AA105" i="1" s="1"/>
  <c r="AB105" i="1" s="1"/>
  <c r="X105" i="1"/>
  <c r="AF22" i="1"/>
  <c r="AE94" i="1"/>
  <c r="B105" i="1"/>
  <c r="C105" i="1"/>
  <c r="D105" i="1"/>
  <c r="E105" i="1"/>
  <c r="F105" i="1"/>
  <c r="G105" i="1"/>
  <c r="H105" i="1"/>
  <c r="I105" i="1"/>
  <c r="J105" i="1"/>
  <c r="K105" i="1"/>
  <c r="L105" i="1"/>
  <c r="M105" i="1"/>
  <c r="N105" i="1"/>
  <c r="O105" i="1"/>
  <c r="P105" i="1"/>
  <c r="Q105" i="1"/>
  <c r="R105" i="1"/>
  <c r="S105" i="1"/>
  <c r="T105" i="1"/>
  <c r="U105" i="1"/>
  <c r="V105" i="1"/>
  <c r="W105" i="1"/>
  <c r="AB30" i="1"/>
  <c r="AA30" i="1"/>
  <c r="Z30" i="1"/>
  <c r="Y30" i="1"/>
  <c r="X30" i="1"/>
  <c r="AB29" i="1"/>
  <c r="AA29" i="1"/>
  <c r="Z29" i="1"/>
  <c r="Y29" i="1"/>
  <c r="X29" i="1"/>
  <c r="AB21" i="1"/>
  <c r="AA21" i="1"/>
  <c r="Z21" i="1"/>
  <c r="Y21" i="1"/>
  <c r="X21" i="1"/>
  <c r="AB20" i="1"/>
  <c r="AA20" i="1"/>
  <c r="Z20" i="1"/>
  <c r="Y20" i="1"/>
  <c r="X20" i="1"/>
  <c r="AE22" i="1"/>
  <c r="AE19" i="1"/>
  <c r="AD19" i="1"/>
  <c r="Y116" i="1" l="1" a="1"/>
  <c r="Y116" i="1" s="1"/>
  <c r="AE101" i="1" a="1"/>
  <c r="AE101" i="1" s="1"/>
  <c r="AE95" i="1" a="1"/>
  <c r="AE95" i="1" s="1"/>
  <c r="AE97" i="1" s="1"/>
  <c r="Y111" i="1"/>
  <c r="AE90" i="1"/>
  <c r="AE89" i="1"/>
  <c r="AE91" i="1"/>
  <c r="AE88" i="1"/>
  <c r="AE92" i="1"/>
  <c r="AE87" i="1"/>
  <c r="AE86" i="1"/>
  <c r="AE99" i="1"/>
  <c r="AE85" i="1"/>
  <c r="AC19" i="1"/>
  <c r="AC16" i="1"/>
  <c r="Y114" i="1"/>
  <c r="AF13" i="1"/>
  <c r="AE13" i="1"/>
  <c r="AD13" i="1"/>
  <c r="AC13" i="1"/>
  <c r="AF10" i="1"/>
  <c r="AE10" i="1"/>
  <c r="AD10" i="1"/>
  <c r="AC10" i="1"/>
  <c r="AF7" i="1"/>
  <c r="AE7" i="1"/>
  <c r="AD7" i="1"/>
  <c r="AC7" i="1"/>
  <c r="AE4" i="1"/>
  <c r="AD4" i="1"/>
  <c r="AC4" i="1"/>
  <c r="AB4" i="1"/>
  <c r="AA4" i="1"/>
  <c r="Z4" i="1"/>
  <c r="Y4" i="1"/>
  <c r="X4" i="1"/>
  <c r="W106" i="1"/>
  <c r="AF4" i="1" s="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Y112" i="1"/>
  <c r="AE106" i="1" l="1"/>
  <c r="Y108" i="1"/>
  <c r="X108" i="1"/>
  <c r="AE103" i="1"/>
  <c r="AE100" i="1" s="1"/>
  <c r="AF16" i="1"/>
  <c r="AD16" i="1"/>
  <c r="AE16" i="1"/>
  <c r="Z108" i="1" l="1"/>
  <c r="AE102" i="1"/>
  <c r="AE105" i="1" s="1"/>
  <c r="AE108" i="1" s="1"/>
  <c r="AA108" i="1" l="1"/>
  <c r="AB107" i="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<sst xmlns="http://schemas.openxmlformats.org/spreadsheetml/2006/main" count="533" uniqueCount="167">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</sst>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0" fontId="11" fillId="4" borderId="0" xfId="0" applyNumberFormat="1" applyFont="1" applyFill="1"/>
    <xf numFmtId="10" fontId="11" fillId="0" borderId="5" xfId="0" applyNumberFormat="1" applyFont="1" applyBorder="1" applyAlignment="1">
      <alignment horizontal="center"/>
    </xf>
    <xf numFmtId="9" fontId="11" fillId="0" borderId="0" xfId="0" applyNumberFormat="1" applyFont="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Accenture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356073211314482E-2"/>
          <c:y val="0.1603742844539307"/>
          <c:w val="0.8563860232945093"/>
          <c:h val="0.644228419366225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1'!$B$1:$W$1</c:f>
              <c:numCache>
                <c:formatCode>General</c:formatCode>
                <c:ptCount val="22"/>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numCache>
            </c:numRef>
          </c:cat>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5F21-D249-B1BE-C09D03EC1BA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1'!$B$1:$W$1</c:f>
              <c:numCache>
                <c:formatCode>General</c:formatCode>
                <c:ptCount val="22"/>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numCache>
            </c:numRef>
          </c:cat>
          <c:val>
            <c:numRef>
              <c:f>'Sheet 1'!$B$28:$W$28</c:f>
              <c:numCache>
                <c:formatCode>#,###,,;\(#,###,,\);\ \-\ \-</c:formatCode>
                <c:ptCount val="22"/>
                <c:pt idx="0">
                  <c:v>1057403000</c:v>
                </c:pt>
                <c:pt idx="1">
                  <c:v>244895000</c:v>
                </c:pt>
                <c:pt idx="2">
                  <c:v>498238000</c:v>
                </c:pt>
                <c:pt idx="3">
                  <c:v>690828000</c:v>
                </c:pt>
                <c:pt idx="4">
                  <c:v>940474000</c:v>
                </c:pt>
                <c:pt idx="5">
                  <c:v>973329000</c:v>
                </c:pt>
                <c:pt idx="6">
                  <c:v>1243148000</c:v>
                </c:pt>
                <c:pt idx="7">
                  <c:v>1691751000</c:v>
                </c:pt>
                <c:pt idx="8">
                  <c:v>1589963000</c:v>
                </c:pt>
                <c:pt idx="9">
                  <c:v>1780656000</c:v>
                </c:pt>
                <c:pt idx="10">
                  <c:v>2277677000</c:v>
                </c:pt>
                <c:pt idx="11">
                  <c:v>2553510000</c:v>
                </c:pt>
                <c:pt idx="12">
                  <c:v>3281878000</c:v>
                </c:pt>
                <c:pt idx="13">
                  <c:v>2941498000</c:v>
                </c:pt>
                <c:pt idx="14">
                  <c:v>3053581000</c:v>
                </c:pt>
                <c:pt idx="15">
                  <c:v>4111892000</c:v>
                </c:pt>
                <c:pt idx="16">
                  <c:v>3445149000</c:v>
                </c:pt>
                <c:pt idx="17">
                  <c:v>4059907000</c:v>
                </c:pt>
                <c:pt idx="18">
                  <c:v>4779112000</c:v>
                </c:pt>
                <c:pt idx="19">
                  <c:v>5107839000</c:v>
                </c:pt>
                <c:pt idx="20">
                  <c:v>5906809000</c:v>
                </c:pt>
                <c:pt idx="21">
                  <c:v>6877169000</c:v>
                </c:pt>
              </c:numCache>
            </c:numRef>
          </c:val>
          <c:extLst>
            <c:ext xmlns:c16="http://schemas.microsoft.com/office/drawing/2014/chart" uri="{C3380CC4-5D6E-409C-BE32-E72D297353CC}">
              <c16:uniqueId val="{00000001-5F21-D249-B1BE-C09D03EC1BA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1'!$B$1:$W$1</c:f>
              <c:numCache>
                <c:formatCode>General</c:formatCode>
                <c:ptCount val="22"/>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numCache>
            </c:numRef>
          </c:cat>
          <c:val>
            <c:numRef>
              <c:f>'Sheet 1'!$B$107:$W$107</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5F21-D249-B1BE-C09D03EC1BAC}"/>
            </c:ext>
          </c:extLst>
        </c:ser>
        <c:dLbls>
          <c:showLegendKey val="0"/>
          <c:showVal val="0"/>
          <c:showCatName val="0"/>
          <c:showSerName val="0"/>
          <c:showPercent val="0"/>
          <c:showBubbleSize val="0"/>
        </c:dLbls>
        <c:gapWidth val="100"/>
        <c:overlap val="-24"/>
        <c:axId val="996617423"/>
        <c:axId val="996619151"/>
      </c:barChart>
      <c:catAx>
        <c:axId val="9966174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96619151"/>
        <c:crosses val="autoZero"/>
        <c:auto val="1"/>
        <c:lblAlgn val="ctr"/>
        <c:lblOffset val="100"/>
        <c:noMultiLvlLbl val="0"/>
      </c:catAx>
      <c:valAx>
        <c:axId val="99661915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96617423"/>
        <c:crosses val="autoZero"/>
        <c:crossBetween val="between"/>
      </c:valAx>
      <c:spPr>
        <a:noFill/>
        <a:ln>
          <a:noFill/>
        </a:ln>
        <a:effectLst/>
      </c:spPr>
    </c:plotArea>
    <c:legend>
      <c:legendPos val="b"/>
      <c:layout>
        <c:manualLayout>
          <c:xMode val="edge"/>
          <c:yMode val="edge"/>
          <c:x val="0.34872116027093958"/>
          <c:y val="0.90473138090805172"/>
          <c:w val="0.31586872273245381"/>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49212</xdr:rowOff>
    </xdr:from>
    <xdr:to>
      <xdr:col>30</xdr:col>
      <xdr:colOff>1539874</xdr:colOff>
      <xdr:row>126</xdr:row>
      <xdr:rowOff>206374</xdr:rowOff>
    </xdr:to>
    <xdr:graphicFrame macro="">
      <xdr:nvGraphicFramePr>
        <xdr:cNvPr id="3" name="Chart 2">
          <a:extLst>
            <a:ext uri="{FF2B5EF4-FFF2-40B4-BE49-F238E27FC236}">
              <a16:creationId xmlns:a16="http://schemas.microsoft.com/office/drawing/2014/main" id="{FE4B72AB-13AB-2C1A-EEE8-54CB7F6DC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327.93</v>
    <v>242.8</v>
    <v>1.2262999999999999</v>
    <v>2.69</v>
    <v>8.7980000000000003E-3</v>
    <v>USD</v>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309.11</v>
    <v>Software &amp; IT Services</v>
    <v>Stock</v>
    <v>45117.974386515627</v>
    <v>0</v>
    <v>304.12</v>
    <v>204906943865</v>
    <v>ACCENTURE PUBLIC LIMITED COMPANY</v>
    <v>ACCENTURE PUBLIC LIMITED COMPANY</v>
    <v>305.20999999999998</v>
    <v>27.4785</v>
    <v>305.76</v>
    <v>308.45</v>
    <v>664311700</v>
    <v>ACN</v>
    <v>ACCENTURE PUBLIC LIMITED COMPANY (XNYS:ACN)</v>
    <v>9</v>
    <v>2760577</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hyperlink" Target="https://finbox.com/NYSE:ACN/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48"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V2" activePane="bottomRight" state="frozen"/>
      <selection pane="topRight"/>
      <selection pane="bottomLeft"/>
      <selection pane="bottomRight" activeCell="AA16" sqref="AA16"/>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3">
        <v>2023</v>
      </c>
      <c r="Y1" s="23">
        <v>2024</v>
      </c>
      <c r="Z1" s="23">
        <v>2025</v>
      </c>
      <c r="AA1" s="23">
        <v>2026</v>
      </c>
      <c r="AB1" s="23">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4">
        <v>64176000000</v>
      </c>
      <c r="Y3" s="24">
        <v>67858000000</v>
      </c>
      <c r="Z3" s="24">
        <v>72660000000</v>
      </c>
      <c r="AA3" s="24">
        <v>78296000000</v>
      </c>
      <c r="AB3" s="24">
        <v>80858000000</v>
      </c>
      <c r="AC3" s="18" t="s">
        <v>108</v>
      </c>
      <c r="AD3" s="19" t="s">
        <v>109</v>
      </c>
      <c r="AE3" s="19" t="s">
        <v>110</v>
      </c>
      <c r="AF3" s="19" t="s">
        <v>111</v>
      </c>
    </row>
    <row r="4" spans="1:32" ht="19" x14ac:dyDescent="0.25">
      <c r="A4" s="14" t="s">
        <v>93</v>
      </c>
      <c r="B4" s="1"/>
      <c r="C4" s="67">
        <f>(C3/B3)-1</f>
        <v>3.3036612209949023E-3</v>
      </c>
      <c r="D4" s="67">
        <f>(D3/C3)-1</f>
        <v>2.229801334205872E-2</v>
      </c>
      <c r="E4" s="67">
        <f>(E3/D3)-1</f>
        <v>0.12811161104824587</v>
      </c>
      <c r="F4" s="67">
        <f t="shared" ref="F4:AB4" si="0">(F3/E3)-1</f>
        <v>0.13106343684773081</v>
      </c>
      <c r="G4" s="67">
        <f t="shared" si="0"/>
        <v>6.6334277501079342E-2</v>
      </c>
      <c r="H4" s="67">
        <f t="shared" si="0"/>
        <v>0.17688809847245768</v>
      </c>
      <c r="I4" s="67">
        <f t="shared" si="0"/>
        <v>0.1799806337155796</v>
      </c>
      <c r="J4" s="67">
        <f t="shared" si="0"/>
        <v>-8.4651684024374618E-2</v>
      </c>
      <c r="K4" s="67">
        <f t="shared" si="0"/>
        <v>-3.3183766858596586E-3</v>
      </c>
      <c r="L4" s="67">
        <f t="shared" si="0"/>
        <v>0.18441247145696837</v>
      </c>
      <c r="M4" s="67">
        <f t="shared" si="0"/>
        <v>8.8658597764026181E-2</v>
      </c>
      <c r="N4" s="67">
        <f t="shared" si="0"/>
        <v>2.0696497765043453E-2</v>
      </c>
      <c r="O4" s="67">
        <f t="shared" si="0"/>
        <v>4.8706294620847412E-2</v>
      </c>
      <c r="P4" s="67">
        <f t="shared" si="0"/>
        <v>3.2619811877001581E-2</v>
      </c>
      <c r="Q4" s="67">
        <f t="shared" si="0"/>
        <v>5.7216161522376963E-2</v>
      </c>
      <c r="R4" s="67">
        <f t="shared" si="0"/>
        <v>5.6550266410147598E-2</v>
      </c>
      <c r="S4" s="67">
        <f t="shared" si="0"/>
        <v>0.13158947641045216</v>
      </c>
      <c r="T4" s="67">
        <f t="shared" si="0"/>
        <v>3.8736831974518937E-2</v>
      </c>
      <c r="U4" s="67">
        <f t="shared" si="0"/>
        <v>2.5732399987939303E-2</v>
      </c>
      <c r="V4" s="67">
        <f t="shared" si="0"/>
        <v>0.14001273579315776</v>
      </c>
      <c r="W4" s="67">
        <f t="shared" si="0"/>
        <v>0.21888332088710705</v>
      </c>
      <c r="X4" s="16">
        <f t="shared" si="0"/>
        <v>4.1914508167597564E-2</v>
      </c>
      <c r="Y4" s="16">
        <f t="shared" si="0"/>
        <v>5.7373472949389104E-2</v>
      </c>
      <c r="Z4" s="16">
        <f t="shared" si="0"/>
        <v>7.0765421910460091E-2</v>
      </c>
      <c r="AA4" s="16">
        <f t="shared" si="0"/>
        <v>7.7566749243049848E-2</v>
      </c>
      <c r="AB4" s="16">
        <f t="shared" si="0"/>
        <v>3.272197813425981E-2</v>
      </c>
      <c r="AC4" s="17">
        <f>(W4+V4+U4)/3</f>
        <v>0.12820948555606804</v>
      </c>
      <c r="AD4" s="17">
        <f>(W20+V20+U20)/3</f>
        <v>0.12438238774015546</v>
      </c>
      <c r="AE4" s="17">
        <f>(W29+V29+U29)/3</f>
        <v>0.12982756088689484</v>
      </c>
      <c r="AF4" s="17">
        <f>(W106+V106+U106)/3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112</v>
      </c>
      <c r="AD6" s="19" t="s">
        <v>113</v>
      </c>
      <c r="AE6" s="19" t="s">
        <v>114</v>
      </c>
      <c r="AF6" s="19" t="s">
        <v>115</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W107/W3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94</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95</v>
      </c>
      <c r="AD9" s="19" t="s">
        <v>96</v>
      </c>
      <c r="AE9" s="19" t="s">
        <v>97</v>
      </c>
      <c r="AF9" s="19" t="s">
        <v>98</v>
      </c>
    </row>
    <row r="10" spans="1:32" ht="19" x14ac:dyDescent="0.25">
      <c r="A10" s="5" t="s">
        <v>6</v>
      </c>
      <c r="B10" s="1" t="s">
        <v>91</v>
      </c>
      <c r="C10" s="1" t="s">
        <v>91</v>
      </c>
      <c r="D10" s="1" t="s">
        <v>91</v>
      </c>
      <c r="E10" s="1">
        <v>1340467000</v>
      </c>
      <c r="F10" s="1" t="s">
        <v>91</v>
      </c>
      <c r="G10" s="1" t="s">
        <v>91</v>
      </c>
      <c r="H10" s="1" t="s">
        <v>91</v>
      </c>
      <c r="I10" s="1" t="s">
        <v>91</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91</v>
      </c>
      <c r="C11" s="1" t="s">
        <v>91</v>
      </c>
      <c r="D11" s="1" t="s">
        <v>91</v>
      </c>
      <c r="E11" s="1">
        <v>1488333000</v>
      </c>
      <c r="F11" s="1" t="s">
        <v>91</v>
      </c>
      <c r="G11" s="1" t="s">
        <v>91</v>
      </c>
      <c r="H11" s="1" t="s">
        <v>91</v>
      </c>
      <c r="I11" s="1" t="s">
        <v>91</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116</v>
      </c>
      <c r="AD12" s="19" t="s">
        <v>117</v>
      </c>
      <c r="AE12" s="19" t="s">
        <v>118</v>
      </c>
      <c r="AF12" s="19" t="s">
        <v>119</v>
      </c>
    </row>
    <row r="13" spans="1:32" ht="19" x14ac:dyDescent="0.25">
      <c r="A13" s="14" t="s">
        <v>99</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120</v>
      </c>
      <c r="AD15" s="19" t="s">
        <v>121</v>
      </c>
      <c r="AE15" s="19" t="s">
        <v>122</v>
      </c>
      <c r="AF15" s="19" t="s">
        <v>123</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5">
        <f>(W35+V35+U35+T35+S35)/5</f>
        <v>-5.3926599951135499E-3</v>
      </c>
      <c r="AD16" s="55">
        <f>AE101/W3</f>
        <v>3.3267189858705279</v>
      </c>
      <c r="AE16" s="55">
        <f>AE101/W28</f>
        <v>29.795246251037309</v>
      </c>
      <c r="AF16" s="56">
        <f>AE101/W107</f>
        <v>23.223835604957017</v>
      </c>
    </row>
    <row r="17" spans="1:32" ht="19" x14ac:dyDescent="0.25">
      <c r="A17" s="5" t="s">
        <v>12</v>
      </c>
      <c r="B17" s="1" t="s">
        <v>91</v>
      </c>
      <c r="C17" s="1" t="s">
        <v>91</v>
      </c>
      <c r="D17" s="1" t="s">
        <v>91</v>
      </c>
      <c r="E17" s="1">
        <v>22044000</v>
      </c>
      <c r="F17" s="1" t="s">
        <v>91</v>
      </c>
      <c r="G17" s="1" t="s">
        <v>91</v>
      </c>
      <c r="H17" s="1" t="s">
        <v>91</v>
      </c>
      <c r="I17" s="1" t="s">
        <v>91</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32"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124</v>
      </c>
      <c r="AD18" s="19" t="s">
        <v>158</v>
      </c>
      <c r="AE18" s="19" t="s">
        <v>159</v>
      </c>
      <c r="AF18" s="19" t="s">
        <v>160</v>
      </c>
    </row>
    <row r="19" spans="1:32"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X19" s="58">
        <v>11513000000</v>
      </c>
      <c r="Y19" s="58">
        <v>12393000000</v>
      </c>
      <c r="Z19" s="58">
        <v>13784000000</v>
      </c>
      <c r="AA19" s="58">
        <v>13515000000</v>
      </c>
      <c r="AB19" s="58">
        <v>14371000000</v>
      </c>
      <c r="AC19" s="26">
        <f>W40-W56-W61</f>
        <v>4568050000</v>
      </c>
      <c r="AD19" s="55">
        <f>AE101/X3</f>
        <v>3.1928905488812016</v>
      </c>
      <c r="AE19" s="55">
        <f>AE101/X28</f>
        <v>27.686386145791108</v>
      </c>
      <c r="AF19" s="56">
        <f>AE101/X106</f>
        <v>22.202507732690432</v>
      </c>
    </row>
    <row r="20" spans="1:32" ht="19" customHeight="1" x14ac:dyDescent="0.25">
      <c r="A20" s="14" t="s">
        <v>100</v>
      </c>
      <c r="B20" s="1"/>
      <c r="C20" s="15">
        <f>(C19/B19)-1</f>
        <v>-0.48263428585612311</v>
      </c>
      <c r="D20" s="15">
        <f>(D19/C19)-1</f>
        <v>0.27436364651086276</v>
      </c>
      <c r="E20" s="15">
        <f>(E19/D19)-1</f>
        <v>0.18743382848959156</v>
      </c>
      <c r="F20" s="15">
        <f t="shared" ref="F20:AB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c r="X20" s="16">
        <f t="shared" si="3"/>
        <v>0.15089292917095221</v>
      </c>
      <c r="Y20" s="16">
        <f t="shared" si="3"/>
        <v>7.6435333970294339E-2</v>
      </c>
      <c r="Z20" s="16">
        <f t="shared" si="3"/>
        <v>0.11224078108609703</v>
      </c>
      <c r="AA20" s="16">
        <f t="shared" si="3"/>
        <v>-1.9515380150899597E-2</v>
      </c>
      <c r="AB20" s="16">
        <f t="shared" si="3"/>
        <v>6.3337032926378045E-2</v>
      </c>
    </row>
    <row r="21" spans="1:32" ht="20"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c r="X21" s="59">
        <f>X19/X3</f>
        <v>0.17939728247319869</v>
      </c>
      <c r="Y21" s="59">
        <f t="shared" ref="Y21:AB21" si="4">Y19/Y3</f>
        <v>0.18263137728786583</v>
      </c>
      <c r="Z21" s="59">
        <f t="shared" si="4"/>
        <v>0.18970547756674924</v>
      </c>
      <c r="AA21" s="59">
        <f t="shared" si="4"/>
        <v>0.17261418207826709</v>
      </c>
      <c r="AB21" s="59">
        <f t="shared" si="4"/>
        <v>0.1777313314699844</v>
      </c>
      <c r="AE21" s="18" t="s">
        <v>161</v>
      </c>
      <c r="AF21" s="19" t="s">
        <v>162</v>
      </c>
    </row>
    <row r="22" spans="1:32"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c r="AE22" s="66">
        <f>(-1*W98)/AE101</f>
        <v>1.1992302230708983E-2</v>
      </c>
      <c r="AF22" s="57">
        <f>W107/AE101</f>
        <v>4.3059209383421351E-2</v>
      </c>
    </row>
    <row r="23" spans="1:32"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32"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32"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32"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32"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32"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c r="X28" s="60">
        <v>7401000000</v>
      </c>
      <c r="Y28" s="60">
        <v>7957000000</v>
      </c>
      <c r="Z28" s="60">
        <v>8525000000</v>
      </c>
      <c r="AA28" s="60">
        <v>9443000000</v>
      </c>
      <c r="AB28" s="60">
        <v>9956000000</v>
      </c>
    </row>
    <row r="29" spans="1:32" ht="20" customHeight="1" thickTop="1" x14ac:dyDescent="0.25">
      <c r="A29" s="14" t="s">
        <v>101</v>
      </c>
      <c r="B29" s="1"/>
      <c r="C29" s="15">
        <f>(C28/B28)-1</f>
        <v>-0.76839956005420829</v>
      </c>
      <c r="D29" s="15">
        <f>(D28/C28)-1</f>
        <v>1.0344964168317032</v>
      </c>
      <c r="E29" s="15">
        <f>(E28/D28)-1</f>
        <v>0.38654217462337281</v>
      </c>
      <c r="F29" s="15">
        <f t="shared" ref="F29:AB29" si="5">(F28/E28)-1</f>
        <v>0.36137215052082428</v>
      </c>
      <c r="G29" s="15">
        <f t="shared" si="5"/>
        <v>3.4934511746204544E-2</v>
      </c>
      <c r="H29" s="15">
        <f t="shared" si="5"/>
        <v>0.27721253553526104</v>
      </c>
      <c r="I29" s="15">
        <f t="shared" si="5"/>
        <v>0.36086049287775879</v>
      </c>
      <c r="J29" s="15">
        <f t="shared" si="5"/>
        <v>-6.0167246834788357E-2</v>
      </c>
      <c r="K29" s="15">
        <f t="shared" si="5"/>
        <v>0.11993549535429437</v>
      </c>
      <c r="L29" s="15">
        <f t="shared" si="5"/>
        <v>0.27912241331284648</v>
      </c>
      <c r="M29" s="15">
        <f t="shared" si="5"/>
        <v>0.12110277269340641</v>
      </c>
      <c r="N29" s="15">
        <f t="shared" si="5"/>
        <v>0.28524188274179463</v>
      </c>
      <c r="O29" s="15">
        <f t="shared" si="5"/>
        <v>-0.10371500707826431</v>
      </c>
      <c r="P29" s="15">
        <f t="shared" si="5"/>
        <v>3.8104054464765946E-2</v>
      </c>
      <c r="Q29" s="15">
        <f t="shared" si="5"/>
        <v>0.34658029376001487</v>
      </c>
      <c r="R29" s="15">
        <f t="shared" si="5"/>
        <v>-0.16214993000788935</v>
      </c>
      <c r="S29" s="15">
        <f t="shared" si="5"/>
        <v>0.17844162908483785</v>
      </c>
      <c r="T29" s="15">
        <f t="shared" si="5"/>
        <v>0.17714814649695176</v>
      </c>
      <c r="U29" s="15">
        <f t="shared" si="5"/>
        <v>6.8784117216754925E-2</v>
      </c>
      <c r="V29" s="15">
        <f t="shared" si="5"/>
        <v>0.15642035702378254</v>
      </c>
      <c r="W29" s="15">
        <f t="shared" si="5"/>
        <v>0.16427820842014706</v>
      </c>
      <c r="X29" s="16">
        <f t="shared" si="5"/>
        <v>7.6169569193370146E-2</v>
      </c>
      <c r="Y29" s="16">
        <f t="shared" si="5"/>
        <v>7.5124983110390398E-2</v>
      </c>
      <c r="Z29" s="16">
        <f t="shared" si="5"/>
        <v>7.1383687319341416E-2</v>
      </c>
      <c r="AA29" s="16">
        <f t="shared" si="5"/>
        <v>0.10768328445747799</v>
      </c>
      <c r="AB29" s="16">
        <f t="shared" si="5"/>
        <v>5.4325955734406461E-2</v>
      </c>
    </row>
    <row r="30" spans="1:32"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c r="X30" s="61">
        <f>X28/X3</f>
        <v>0.11532348541510845</v>
      </c>
      <c r="Y30" s="61">
        <f t="shared" ref="Y30:AB30" si="6">Y28/Y3</f>
        <v>0.11725957145804473</v>
      </c>
      <c r="Z30" s="61">
        <f t="shared" si="6"/>
        <v>0.117327277731902</v>
      </c>
      <c r="AA30" s="61">
        <f t="shared" si="6"/>
        <v>0.12060641667518136</v>
      </c>
      <c r="AB30" s="61">
        <f t="shared" si="6"/>
        <v>0.12312943679042272</v>
      </c>
    </row>
    <row r="31" spans="1:32"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c r="X31" s="62">
        <v>11.73</v>
      </c>
      <c r="Y31" s="62">
        <v>12.61</v>
      </c>
      <c r="Z31" s="62">
        <v>13.51</v>
      </c>
      <c r="AA31" s="62">
        <v>14.97</v>
      </c>
      <c r="AB31" s="62">
        <v>15.78</v>
      </c>
    </row>
    <row r="32" spans="1:32"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102</v>
      </c>
      <c r="B35" s="1"/>
      <c r="C35" s="22">
        <f>(C34-B34)/B34</f>
        <v>1.5499727231686843E-2</v>
      </c>
      <c r="D35" s="22">
        <f t="shared" ref="D35:W35" si="7">(D34-C34)/C34</f>
        <v>-2.6406745512910328E-2</v>
      </c>
      <c r="E35" s="22">
        <f t="shared" si="7"/>
        <v>6.0785744297686692E-3</v>
      </c>
      <c r="F35" s="22">
        <f t="shared" si="7"/>
        <v>-4.2179796546664365E-2</v>
      </c>
      <c r="G35" s="22">
        <f t="shared" si="7"/>
        <v>-6.9446487214375296E-2</v>
      </c>
      <c r="H35" s="22">
        <f t="shared" si="7"/>
        <v>-3.5675623599825686E-2</v>
      </c>
      <c r="I35" s="22">
        <f t="shared" si="7"/>
        <v>-4.5887636862737911E-2</v>
      </c>
      <c r="J35" s="22">
        <f t="shared" si="7"/>
        <v>-4.4988705897969182E-2</v>
      </c>
      <c r="K35" s="22">
        <f t="shared" si="7"/>
        <v>-2.4607983370007802E-2</v>
      </c>
      <c r="L35" s="22">
        <f t="shared" si="7"/>
        <v>-3.1151129455507576E-2</v>
      </c>
      <c r="M35" s="22">
        <f t="shared" si="7"/>
        <v>-2.1245508563139837E-2</v>
      </c>
      <c r="N35" s="22">
        <f t="shared" si="7"/>
        <v>-1.8794778067609076E-2</v>
      </c>
      <c r="O35" s="22">
        <f t="shared" si="7"/>
        <v>-2.858402076460648E-2</v>
      </c>
      <c r="P35" s="22">
        <f t="shared" si="7"/>
        <v>-1.9689620978707252E-2</v>
      </c>
      <c r="Q35" s="22">
        <f t="shared" si="7"/>
        <v>-1.6186639499755046E-2</v>
      </c>
      <c r="R35" s="22">
        <f t="shared" si="7"/>
        <v>-1.0942456237577296E-2</v>
      </c>
      <c r="S35" s="22">
        <f t="shared" si="7"/>
        <v>-7.8234136114893795E-3</v>
      </c>
      <c r="T35" s="22">
        <f t="shared" si="7"/>
        <v>-7.7694291352085618E-3</v>
      </c>
      <c r="U35" s="22">
        <f t="shared" si="7"/>
        <v>-3.7032481606762736E-3</v>
      </c>
      <c r="V35" s="22">
        <f t="shared" si="7"/>
        <v>-2.9144330573570129E-3</v>
      </c>
      <c r="W35" s="22">
        <f t="shared" si="7"/>
        <v>-4.7527760108365229E-3</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91</v>
      </c>
      <c r="C39" s="1" t="s">
        <v>91</v>
      </c>
      <c r="D39" s="1" t="s">
        <v>91</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91</v>
      </c>
      <c r="C46" s="1" t="s">
        <v>91</v>
      </c>
      <c r="D46" s="1" t="s">
        <v>91</v>
      </c>
      <c r="E46" s="1">
        <v>214482000</v>
      </c>
      <c r="F46" s="1" t="s">
        <v>91</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91</v>
      </c>
      <c r="C47" s="1">
        <v>167603000</v>
      </c>
      <c r="D47" s="1">
        <v>188659000</v>
      </c>
      <c r="E47" s="1" t="s">
        <v>91</v>
      </c>
      <c r="F47" s="1">
        <v>378488000</v>
      </c>
      <c r="G47" s="1" t="s">
        <v>91</v>
      </c>
      <c r="H47" s="1" t="s">
        <v>91</v>
      </c>
      <c r="I47" s="1" t="s">
        <v>91</v>
      </c>
      <c r="J47" s="1" t="s">
        <v>91</v>
      </c>
      <c r="K47" s="1" t="s">
        <v>91</v>
      </c>
      <c r="L47" s="1" t="s">
        <v>91</v>
      </c>
      <c r="M47" s="1" t="s">
        <v>91</v>
      </c>
      <c r="N47" s="1" t="s">
        <v>91</v>
      </c>
      <c r="O47" s="1">
        <v>397880000</v>
      </c>
      <c r="P47" s="1">
        <v>464907000</v>
      </c>
      <c r="Q47" s="1">
        <v>510151000</v>
      </c>
      <c r="R47" s="1">
        <v>710382000</v>
      </c>
      <c r="S47" s="1">
        <v>687110000</v>
      </c>
      <c r="T47" s="1">
        <v>840779000</v>
      </c>
      <c r="U47" s="1">
        <v>1029218000</v>
      </c>
      <c r="V47" s="1">
        <v>1710938000</v>
      </c>
      <c r="W47" s="1" t="s">
        <v>91</v>
      </c>
    </row>
    <row r="48" spans="1:23" ht="19" x14ac:dyDescent="0.25">
      <c r="A48" s="5" t="s">
        <v>40</v>
      </c>
      <c r="B48" s="1" t="s">
        <v>91</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91</v>
      </c>
      <c r="C49" s="1" t="s">
        <v>91</v>
      </c>
      <c r="D49" s="1" t="s">
        <v>91</v>
      </c>
      <c r="E49" s="1">
        <v>340121000</v>
      </c>
      <c r="F49" s="1" t="s">
        <v>91</v>
      </c>
      <c r="G49" s="1" t="s">
        <v>91</v>
      </c>
      <c r="H49" s="1" t="s">
        <v>91</v>
      </c>
      <c r="I49" s="1" t="s">
        <v>91</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91</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91</v>
      </c>
      <c r="C57" s="1" t="s">
        <v>91</v>
      </c>
      <c r="D57" s="1" t="s">
        <v>91</v>
      </c>
      <c r="E57" s="1">
        <v>795948000</v>
      </c>
      <c r="F57" s="1" t="s">
        <v>91</v>
      </c>
      <c r="G57" s="1" t="s">
        <v>91</v>
      </c>
      <c r="H57" s="1" t="s">
        <v>91</v>
      </c>
      <c r="I57" s="1" t="s">
        <v>91</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91</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91</v>
      </c>
      <c r="C62" s="1" t="s">
        <v>91</v>
      </c>
      <c r="D62" s="1" t="s">
        <v>91</v>
      </c>
      <c r="E62" s="1" t="s">
        <v>91</v>
      </c>
      <c r="F62" s="1" t="s">
        <v>91</v>
      </c>
      <c r="G62" s="1" t="s">
        <v>91</v>
      </c>
      <c r="H62" s="1" t="s">
        <v>91</v>
      </c>
      <c r="I62" s="1" t="s">
        <v>91</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91</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91</v>
      </c>
      <c r="C79" s="1" t="s">
        <v>91</v>
      </c>
      <c r="D79" s="1" t="s">
        <v>91</v>
      </c>
      <c r="E79" s="1">
        <v>60486000</v>
      </c>
      <c r="F79" s="1" t="s">
        <v>91</v>
      </c>
      <c r="G79" s="1" t="s">
        <v>91</v>
      </c>
      <c r="H79" s="1" t="s">
        <v>91</v>
      </c>
      <c r="I79" s="1" t="s">
        <v>91</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103</v>
      </c>
      <c r="B80" s="15" t="e">
        <f t="shared" ref="B80:W80" si="8">B79/B3</f>
        <v>#VALUE!</v>
      </c>
      <c r="C80" s="15" t="e">
        <f t="shared" si="8"/>
        <v>#VALUE!</v>
      </c>
      <c r="D80" s="15" t="e">
        <f t="shared" si="8"/>
        <v>#VALUE!</v>
      </c>
      <c r="E80" s="15">
        <f t="shared" si="8"/>
        <v>4.0020955985152961E-3</v>
      </c>
      <c r="F80" s="15" t="e">
        <f t="shared" si="8"/>
        <v>#VALUE!</v>
      </c>
      <c r="G80" s="15" t="e">
        <f t="shared" si="8"/>
        <v>#VALUE!</v>
      </c>
      <c r="H80" s="15" t="e">
        <f t="shared" si="8"/>
        <v>#VALUE!</v>
      </c>
      <c r="I80" s="15" t="e">
        <f t="shared" si="8"/>
        <v>#VALUE!</v>
      </c>
      <c r="J80" s="15">
        <f t="shared" si="8"/>
        <v>1.9542688074145196E-2</v>
      </c>
      <c r="K80" s="15">
        <f t="shared" si="8"/>
        <v>1.8438579795218499E-2</v>
      </c>
      <c r="L80" s="15">
        <f t="shared" si="8"/>
        <v>1.6456637855842341E-2</v>
      </c>
      <c r="M80" s="15">
        <f t="shared" si="8"/>
        <v>1.8069926490996622E-2</v>
      </c>
      <c r="N80" s="15">
        <f t="shared" si="8"/>
        <v>2.026295403889251E-2</v>
      </c>
      <c r="O80" s="15">
        <f t="shared" si="8"/>
        <v>2.106063628313359E-2</v>
      </c>
      <c r="P80" s="15">
        <f t="shared" si="8"/>
        <v>2.0669631040786254E-2</v>
      </c>
      <c r="Q80" s="15">
        <f t="shared" si="8"/>
        <v>2.178813110455901E-2</v>
      </c>
      <c r="R80" s="15">
        <f t="shared" si="8"/>
        <v>2.162993773669963E-2</v>
      </c>
      <c r="S80" s="15">
        <f t="shared" si="8"/>
        <v>2.3481430424435217E-2</v>
      </c>
      <c r="T80" s="15">
        <f t="shared" si="8"/>
        <v>2.5297990770013188E-2</v>
      </c>
      <c r="U80" s="15">
        <f t="shared" si="8"/>
        <v>2.7022016968018099E-2</v>
      </c>
      <c r="V80" s="15">
        <f t="shared" si="8"/>
        <v>2.6575518218261592E-2</v>
      </c>
      <c r="W80" s="15">
        <f t="shared" si="8"/>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91</v>
      </c>
      <c r="C82" s="1" t="s">
        <v>91</v>
      </c>
      <c r="D82" s="1" t="s">
        <v>91</v>
      </c>
      <c r="E82" s="1">
        <v>-182998000</v>
      </c>
      <c r="F82" s="1" t="s">
        <v>91</v>
      </c>
      <c r="G82" s="1" t="s">
        <v>91</v>
      </c>
      <c r="H82" s="1" t="s">
        <v>91</v>
      </c>
      <c r="I82" s="1" t="s">
        <v>91</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91</v>
      </c>
      <c r="V82" s="1" t="s">
        <v>91</v>
      </c>
      <c r="W82" s="1" t="s">
        <v>91</v>
      </c>
    </row>
    <row r="83" spans="1:31"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AD83" s="30" t="s">
        <v>125</v>
      </c>
      <c r="AE83" s="31"/>
    </row>
    <row r="84" spans="1:31" ht="19" x14ac:dyDescent="0.25">
      <c r="A84" s="5" t="s">
        <v>47</v>
      </c>
      <c r="B84" s="1" t="s">
        <v>91</v>
      </c>
      <c r="C84" s="1" t="s">
        <v>91</v>
      </c>
      <c r="D84" s="1" t="s">
        <v>91</v>
      </c>
      <c r="E84" s="1">
        <v>-65486000</v>
      </c>
      <c r="F84" s="1" t="s">
        <v>91</v>
      </c>
      <c r="G84" s="1" t="s">
        <v>91</v>
      </c>
      <c r="H84" s="1" t="s">
        <v>91</v>
      </c>
      <c r="I84" s="1" t="s">
        <v>91</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32" t="s">
        <v>126</v>
      </c>
      <c r="AE84" s="32"/>
    </row>
    <row r="85" spans="1:31" ht="20" x14ac:dyDescent="0.25">
      <c r="A85" s="5" t="s">
        <v>71</v>
      </c>
      <c r="B85" s="1" t="s">
        <v>91</v>
      </c>
      <c r="C85" s="1" t="s">
        <v>91</v>
      </c>
      <c r="D85" s="1" t="s">
        <v>91</v>
      </c>
      <c r="E85" s="1">
        <v>-151132000</v>
      </c>
      <c r="F85" s="1" t="s">
        <v>91</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33" t="s">
        <v>127</v>
      </c>
      <c r="AE85" s="3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33" t="s">
        <v>128</v>
      </c>
      <c r="AE86" s="3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33" t="s">
        <v>129</v>
      </c>
      <c r="AE87" s="3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5" t="s">
        <v>130</v>
      </c>
      <c r="AE88" s="36">
        <f>AE85/(AE86+AE87)</f>
        <v>1.4228343871288213E-2</v>
      </c>
    </row>
    <row r="89" spans="1:31" ht="20" customHeight="1" x14ac:dyDescent="0.25">
      <c r="A89" s="14" t="s">
        <v>104</v>
      </c>
      <c r="B89" s="15">
        <f t="shared" ref="B89:W89" si="9">(-1*B88)/B3</f>
        <v>2.8933831230316755E-2</v>
      </c>
      <c r="C89" s="15">
        <f t="shared" si="9"/>
        <v>2.0055743507222879E-2</v>
      </c>
      <c r="D89" s="15">
        <f t="shared" si="9"/>
        <v>1.5791685451630337E-2</v>
      </c>
      <c r="E89" s="15">
        <f t="shared" si="9"/>
        <v>1.8657787412672919E-2</v>
      </c>
      <c r="F89" s="15">
        <f t="shared" si="9"/>
        <v>1.8589223851993807E-2</v>
      </c>
      <c r="G89" s="15">
        <f t="shared" si="9"/>
        <v>1.6796568600827962E-2</v>
      </c>
      <c r="H89" s="15">
        <f t="shared" si="9"/>
        <v>1.6984817841743063E-2</v>
      </c>
      <c r="I89" s="15">
        <f t="shared" si="9"/>
        <v>1.2655850601169496E-2</v>
      </c>
      <c r="J89" s="15">
        <f t="shared" si="9"/>
        <v>1.0506898114916908E-2</v>
      </c>
      <c r="K89" s="15">
        <f t="shared" si="9"/>
        <v>1.0314982048644679E-2</v>
      </c>
      <c r="L89" s="15">
        <f t="shared" si="9"/>
        <v>1.4759451223368742E-2</v>
      </c>
      <c r="M89" s="15">
        <f t="shared" si="9"/>
        <v>1.2491577250777713E-2</v>
      </c>
      <c r="N89" s="15">
        <f t="shared" si="9"/>
        <v>1.2159950464371839E-2</v>
      </c>
      <c r="O89" s="15">
        <f t="shared" si="9"/>
        <v>1.0097984362383206E-2</v>
      </c>
      <c r="P89" s="15">
        <f t="shared" si="9"/>
        <v>1.2001334126339261E-2</v>
      </c>
      <c r="Q89" s="15">
        <f t="shared" si="9"/>
        <v>1.4270097061983563E-2</v>
      </c>
      <c r="R89" s="15">
        <f t="shared" si="9"/>
        <v>1.403270209080377E-2</v>
      </c>
      <c r="S89" s="15">
        <f t="shared" si="9"/>
        <v>1.4883076461872325E-2</v>
      </c>
      <c r="T89" s="15">
        <f t="shared" si="9"/>
        <v>1.3861132009841117E-2</v>
      </c>
      <c r="U89" s="15">
        <f t="shared" si="9"/>
        <v>1.3516174631019229E-2</v>
      </c>
      <c r="V89" s="15">
        <f t="shared" si="9"/>
        <v>1.1480172050206251E-2</v>
      </c>
      <c r="W89" s="15">
        <f t="shared" si="9"/>
        <v>1.1656889382873953E-2</v>
      </c>
      <c r="AD89" s="33" t="s">
        <v>105</v>
      </c>
      <c r="AE89" s="34">
        <f>W27</f>
        <v>2207207000</v>
      </c>
    </row>
    <row r="90" spans="1:31" ht="20" x14ac:dyDescent="0.25">
      <c r="A90" s="5" t="s">
        <v>75</v>
      </c>
      <c r="B90" s="1" t="s">
        <v>91</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33" t="s">
        <v>19</v>
      </c>
      <c r="AE90" s="34">
        <f>W25</f>
        <v>9196167000</v>
      </c>
    </row>
    <row r="91" spans="1:31" ht="20" x14ac:dyDescent="0.25">
      <c r="A91" s="5" t="s">
        <v>76</v>
      </c>
      <c r="B91" s="1">
        <v>-326086000</v>
      </c>
      <c r="C91" s="1" t="s">
        <v>91</v>
      </c>
      <c r="D91" s="1" t="s">
        <v>91</v>
      </c>
      <c r="E91" s="1">
        <v>-1014998000</v>
      </c>
      <c r="F91" s="1">
        <v>-1019317000</v>
      </c>
      <c r="G91" s="1">
        <v>-401181000</v>
      </c>
      <c r="H91" s="1">
        <v>-693733000</v>
      </c>
      <c r="I91" s="1">
        <v>-27694000</v>
      </c>
      <c r="J91" s="1">
        <v>-1782000</v>
      </c>
      <c r="K91" s="1">
        <v>-13528000</v>
      </c>
      <c r="L91" s="1">
        <v>-11173000</v>
      </c>
      <c r="M91" s="1">
        <v>-7554000</v>
      </c>
      <c r="N91" s="1" t="s">
        <v>91</v>
      </c>
      <c r="O91" s="1" t="s">
        <v>91</v>
      </c>
      <c r="P91" s="1" t="s">
        <v>91</v>
      </c>
      <c r="Q91" s="1" t="s">
        <v>91</v>
      </c>
      <c r="R91" s="1" t="s">
        <v>91</v>
      </c>
      <c r="S91" s="1" t="s">
        <v>91</v>
      </c>
      <c r="T91" s="1" t="s">
        <v>91</v>
      </c>
      <c r="U91" s="1" t="s">
        <v>91</v>
      </c>
      <c r="V91" s="1" t="s">
        <v>91</v>
      </c>
      <c r="W91" s="1" t="s">
        <v>91</v>
      </c>
      <c r="AD91" s="35" t="s">
        <v>131</v>
      </c>
      <c r="AE91" s="36">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91</v>
      </c>
      <c r="O92" s="1" t="s">
        <v>91</v>
      </c>
      <c r="P92" s="1">
        <v>10553000</v>
      </c>
      <c r="Q92" s="1" t="s">
        <v>91</v>
      </c>
      <c r="R92" s="1" t="s">
        <v>91</v>
      </c>
      <c r="S92" s="1" t="s">
        <v>91</v>
      </c>
      <c r="T92" s="1" t="s">
        <v>91</v>
      </c>
      <c r="U92" s="1" t="s">
        <v>91</v>
      </c>
      <c r="V92" s="1" t="s">
        <v>91</v>
      </c>
      <c r="W92" s="1" t="s">
        <v>91</v>
      </c>
      <c r="AD92" s="35" t="s">
        <v>132</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32" t="s">
        <v>133</v>
      </c>
      <c r="AE93" s="32"/>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33" t="s">
        <v>134</v>
      </c>
      <c r="AE94" s="65">
        <f>[1]Treasuries!$C$8</f>
        <v>3.9120000000000002E-2</v>
      </c>
    </row>
    <row r="95" spans="1:31" ht="20" x14ac:dyDescent="0.25">
      <c r="A95" s="5" t="s">
        <v>80</v>
      </c>
      <c r="B95" s="1" t="s">
        <v>91</v>
      </c>
      <c r="C95" s="1" t="s">
        <v>91</v>
      </c>
      <c r="D95" s="1" t="s">
        <v>91</v>
      </c>
      <c r="E95" s="1">
        <v>-119549000</v>
      </c>
      <c r="F95" s="1" t="s">
        <v>91</v>
      </c>
      <c r="G95" s="1" t="s">
        <v>91</v>
      </c>
      <c r="H95" s="1" t="s">
        <v>91</v>
      </c>
      <c r="I95" s="1" t="s">
        <v>91</v>
      </c>
      <c r="J95" s="1">
        <v>-58939000</v>
      </c>
      <c r="K95" s="1" t="s">
        <v>91</v>
      </c>
      <c r="L95" s="1" t="s">
        <v>91</v>
      </c>
      <c r="M95" s="1">
        <v>-6399000</v>
      </c>
      <c r="N95" s="1">
        <v>-34000</v>
      </c>
      <c r="O95" s="1" t="s">
        <v>91</v>
      </c>
      <c r="P95" s="1" t="s">
        <v>91</v>
      </c>
      <c r="Q95" s="1" t="s">
        <v>91</v>
      </c>
      <c r="R95" s="1" t="s">
        <v>91</v>
      </c>
      <c r="S95" s="1" t="s">
        <v>91</v>
      </c>
      <c r="T95" s="1" t="s">
        <v>91</v>
      </c>
      <c r="U95" s="1" t="s">
        <v>91</v>
      </c>
      <c r="V95" s="1" t="s">
        <v>91</v>
      </c>
      <c r="W95" s="1" t="s">
        <v>91</v>
      </c>
      <c r="AD95" s="33" t="s">
        <v>135</v>
      </c>
      <c r="AE95" s="38" cm="1">
        <f t="array" ref="AE95">_FV(A1,"Beta")</f>
        <v>1.2262999999999999</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33" t="s">
        <v>136</v>
      </c>
      <c r="AE96" s="37">
        <v>8.4000000000000005E-2</v>
      </c>
    </row>
    <row r="97" spans="1:31" ht="20" x14ac:dyDescent="0.25">
      <c r="A97" s="5" t="s">
        <v>82</v>
      </c>
      <c r="B97" s="1" t="s">
        <v>91</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137</v>
      </c>
      <c r="AE97" s="36">
        <f>(AE94)+((AE95)*(AE96-AE94))</f>
        <v>9.4156344000000003E-2</v>
      </c>
    </row>
    <row r="98" spans="1:31" ht="19" x14ac:dyDescent="0.25">
      <c r="A98" s="5" t="s">
        <v>83</v>
      </c>
      <c r="B98" s="1" t="s">
        <v>91</v>
      </c>
      <c r="C98" s="1" t="s">
        <v>91</v>
      </c>
      <c r="D98" s="1" t="s">
        <v>91</v>
      </c>
      <c r="E98" s="1" t="s">
        <v>91</v>
      </c>
      <c r="F98" s="1" t="s">
        <v>91</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32" t="s">
        <v>138</v>
      </c>
      <c r="AE98" s="32"/>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33" t="s">
        <v>139</v>
      </c>
      <c r="AE99" s="3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5" t="s">
        <v>140</v>
      </c>
      <c r="AE100" s="36">
        <f>AE99/AE103</f>
        <v>1.5971343608165919E-2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33" t="s">
        <v>141</v>
      </c>
      <c r="AE101" s="39" cm="1">
        <f t="array" ref="AE101">_FV(A1,"Market cap",TRUE)</f>
        <v>204906943865</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5" t="s">
        <v>142</v>
      </c>
      <c r="AE102" s="36">
        <f>AE101/AE103</f>
        <v>0.98402865639183412</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143</v>
      </c>
      <c r="AE103" s="40">
        <f>AE99+AE101</f>
        <v>208232699865</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32" t="s">
        <v>144</v>
      </c>
      <c r="AE104" s="32"/>
    </row>
    <row r="105" spans="1:31" ht="21" thickTop="1" x14ac:dyDescent="0.25">
      <c r="A105" s="14" t="s">
        <v>163</v>
      </c>
      <c r="B105" s="1">
        <f t="shared" ref="B105:V105" si="10">(B22*(1-$AE$91))+B77+B88+B81</f>
        <v>1518293957.5915704</v>
      </c>
      <c r="C105" s="1">
        <f t="shared" si="10"/>
        <v>1012963638.8334401</v>
      </c>
      <c r="D105" s="1">
        <f t="shared" si="10"/>
        <v>1324701190.7817681</v>
      </c>
      <c r="E105" s="1">
        <f t="shared" si="10"/>
        <v>1507404488.4951525</v>
      </c>
      <c r="F105" s="1">
        <f t="shared" si="10"/>
        <v>1618995741.9550993</v>
      </c>
      <c r="G105" s="1">
        <f t="shared" si="10"/>
        <v>2298407430.8041601</v>
      </c>
      <c r="H105" s="1">
        <f t="shared" si="10"/>
        <v>2226774038.362505</v>
      </c>
      <c r="I105" s="1">
        <f t="shared" si="10"/>
        <v>2274825755.9453845</v>
      </c>
      <c r="J105" s="1">
        <f t="shared" si="10"/>
        <v>2265854910.9556189</v>
      </c>
      <c r="K105" s="1">
        <f t="shared" si="10"/>
        <v>2478494971.0516348</v>
      </c>
      <c r="L105" s="1">
        <f t="shared" si="10"/>
        <v>2785895422.8269234</v>
      </c>
      <c r="M105" s="1">
        <f t="shared" si="10"/>
        <v>3732901047.2086902</v>
      </c>
      <c r="N105" s="1">
        <f t="shared" si="10"/>
        <v>2632233920.1320505</v>
      </c>
      <c r="O105" s="1">
        <f t="shared" si="10"/>
        <v>2572442766.9039721</v>
      </c>
      <c r="P105" s="1">
        <f t="shared" si="10"/>
        <v>3811186218.7875667</v>
      </c>
      <c r="Q105" s="1">
        <f t="shared" si="10"/>
        <v>3463230809.1135139</v>
      </c>
      <c r="R105" s="1">
        <f t="shared" si="10"/>
        <v>3362521903.4996862</v>
      </c>
      <c r="S105" s="1">
        <f t="shared" si="10"/>
        <v>4553503545.443553</v>
      </c>
      <c r="T105" s="1">
        <f t="shared" si="10"/>
        <v>5064101221.1374588</v>
      </c>
      <c r="U105" s="1">
        <f t="shared" si="10"/>
        <v>6256096542.57899</v>
      </c>
      <c r="V105" s="1">
        <f t="shared" si="10"/>
        <v>6053720852.2124491</v>
      </c>
      <c r="W105" s="1">
        <f>(W22*(1-$AE$91))+W77+W88+W81</f>
        <v>6466204279.7669945</v>
      </c>
      <c r="X105" s="29">
        <f>W105*(1+$AE$106)</f>
        <v>6828754176.4514408</v>
      </c>
      <c r="Y105" s="29">
        <f t="shared" ref="Y105:AB105" si="11">X105*(1+$AE$106)</f>
        <v>7211631675.2187948</v>
      </c>
      <c r="Z105" s="29">
        <f t="shared" si="11"/>
        <v>7615976512.7238464</v>
      </c>
      <c r="AA105" s="29">
        <f t="shared" si="11"/>
        <v>8042992328.861764</v>
      </c>
      <c r="AB105" s="29">
        <f t="shared" si="11"/>
        <v>8493950249.7222071</v>
      </c>
      <c r="AC105" s="27" t="s">
        <v>165</v>
      </c>
      <c r="AD105" s="41" t="s">
        <v>107</v>
      </c>
      <c r="AE105" s="42">
        <f>(AE100*AE92)+(AE102*AE97)</f>
        <v>9.2825244325174111E-2</v>
      </c>
    </row>
    <row r="106" spans="1:31" ht="19" x14ac:dyDescent="0.25">
      <c r="A106" s="14" t="s">
        <v>106</v>
      </c>
      <c r="B106" s="1"/>
      <c r="C106" s="15">
        <f>(C107/B107)-1</f>
        <v>-0.57925173071303493</v>
      </c>
      <c r="D106" s="15">
        <f>(D107/C107)-1</f>
        <v>0.62580897406910996</v>
      </c>
      <c r="E106" s="15">
        <f>(E107/D107)-1</f>
        <v>0.13247353333696998</v>
      </c>
      <c r="F106" s="15">
        <f>(F107/E107)-1</f>
        <v>6.4686834065712739E-2</v>
      </c>
      <c r="G106" s="15">
        <f>(G107/F107)-1</f>
        <v>0.50500315744063151</v>
      </c>
      <c r="H106" s="15">
        <f>(H107/G107)-1</f>
        <v>-4.0486236220872551E-2</v>
      </c>
      <c r="I106" s="15">
        <f>(I107/H107)-1</f>
        <v>9.561670360083907E-2</v>
      </c>
      <c r="J106" s="15">
        <f>(J107/I107)-1</f>
        <v>0.17474344309833745</v>
      </c>
      <c r="K106" s="15">
        <f>(K107/J107)-1</f>
        <v>-2.1716659004020533E-2</v>
      </c>
      <c r="L106" s="15">
        <f>(L107/K107)-1</f>
        <v>6.4701645928285645E-2</v>
      </c>
      <c r="M106" s="15">
        <f>(M107/L107)-1</f>
        <v>0.27875116235054032</v>
      </c>
      <c r="N106" s="15">
        <f>(N107/M107)-1</f>
        <v>-0.24488362311506306</v>
      </c>
      <c r="O106" s="15">
        <f>(O107/N107)-1</f>
        <v>7.8635502900084697E-2</v>
      </c>
      <c r="P106" s="15">
        <f>(P107/O107)-1</f>
        <v>0.16841617905230843</v>
      </c>
      <c r="Q106" s="15">
        <f>(Q107/P107)-1</f>
        <v>0.1031692236118924</v>
      </c>
      <c r="R106" s="15">
        <f>(R107/Q107)-1</f>
        <v>9.2820020061056052E-2</v>
      </c>
      <c r="S106" s="15">
        <f>(S107/R107)-1</f>
        <v>0.2132282729655024</v>
      </c>
      <c r="T106" s="15">
        <f>(T107/S107)-1</f>
        <v>0.11473685456358429</v>
      </c>
      <c r="U106" s="15">
        <f>(U107/T107)-1</f>
        <v>0.26345234793156669</v>
      </c>
      <c r="V106" s="15">
        <f>(V107/U107)-1</f>
        <v>0.10228387005286232</v>
      </c>
      <c r="W106" s="15">
        <f>(W107/V107)-1</f>
        <v>5.0996329250593497E-2</v>
      </c>
      <c r="X106" s="64">
        <v>9229000000</v>
      </c>
      <c r="Y106" s="64">
        <v>9760000000</v>
      </c>
      <c r="Z106" s="64">
        <v>10756000000</v>
      </c>
      <c r="AA106" s="64">
        <v>10212000000</v>
      </c>
      <c r="AB106" s="64">
        <v>10773000000</v>
      </c>
      <c r="AC106" s="27" t="s">
        <v>166</v>
      </c>
      <c r="AD106" s="43" t="s">
        <v>145</v>
      </c>
      <c r="AE106" s="44">
        <f>(SUM(X4:AB4)/5)</f>
        <v>5.6068426080951285E-2</v>
      </c>
    </row>
    <row r="107" spans="1:31" ht="19" x14ac:dyDescent="0.25">
      <c r="A107" s="63" t="s">
        <v>164</v>
      </c>
      <c r="B107" s="1">
        <v>1902684000</v>
      </c>
      <c r="C107" s="1">
        <v>800551000</v>
      </c>
      <c r="D107" s="1">
        <v>1301543000</v>
      </c>
      <c r="E107" s="1">
        <v>1473963000</v>
      </c>
      <c r="F107" s="1">
        <v>1569309000</v>
      </c>
      <c r="G107" s="1">
        <v>2361815000</v>
      </c>
      <c r="H107" s="1">
        <v>2266194000</v>
      </c>
      <c r="I107" s="1">
        <v>2482880000</v>
      </c>
      <c r="J107" s="1">
        <v>2916747000</v>
      </c>
      <c r="K107" s="1">
        <v>2853405000</v>
      </c>
      <c r="L107" s="1">
        <v>3038025000</v>
      </c>
      <c r="M107" s="1">
        <v>3884878000</v>
      </c>
      <c r="N107" s="1">
        <v>2933535000</v>
      </c>
      <c r="O107" s="1">
        <v>3164215000</v>
      </c>
      <c r="P107" s="1">
        <v>3697120000</v>
      </c>
      <c r="Q107" s="1">
        <v>4078549000</v>
      </c>
      <c r="R107" s="1">
        <v>4457120000</v>
      </c>
      <c r="S107" s="1">
        <v>5407504000</v>
      </c>
      <c r="T107" s="1">
        <v>6027944000</v>
      </c>
      <c r="U107" s="1">
        <v>7616020000</v>
      </c>
      <c r="V107" s="1">
        <v>8395016000</v>
      </c>
      <c r="W107" s="1">
        <v>8823131000</v>
      </c>
      <c r="X107" s="27"/>
      <c r="Y107" s="27"/>
      <c r="Z107" s="27"/>
      <c r="AA107" s="27"/>
      <c r="AB107" s="68">
        <f>AB106*(1+AE107)/(AE108-AE107)</f>
        <v>162805532215.4072</v>
      </c>
      <c r="AC107" s="28" t="s">
        <v>146</v>
      </c>
      <c r="AD107" s="45" t="s">
        <v>147</v>
      </c>
      <c r="AE107" s="46">
        <v>2.5000000000000001E-2</v>
      </c>
    </row>
    <row r="108" spans="1:31" ht="19" x14ac:dyDescent="0.25">
      <c r="X108" s="68">
        <f t="shared" ref="X108:Z108" si="12">X107+X106</f>
        <v>9229000000</v>
      </c>
      <c r="Y108" s="68">
        <f t="shared" si="12"/>
        <v>9760000000</v>
      </c>
      <c r="Z108" s="68">
        <f t="shared" si="12"/>
        <v>10756000000</v>
      </c>
      <c r="AA108" s="68">
        <f>AA107+AA106</f>
        <v>10212000000</v>
      </c>
      <c r="AB108" s="68">
        <f>AB107+AB106</f>
        <v>173578532215.4072</v>
      </c>
      <c r="AC108" s="28" t="s">
        <v>143</v>
      </c>
      <c r="AD108" s="47" t="s">
        <v>148</v>
      </c>
      <c r="AE108" s="44">
        <f>AE105</f>
        <v>9.2825244325174111E-2</v>
      </c>
    </row>
    <row r="109" spans="1:31" ht="19" x14ac:dyDescent="0.25">
      <c r="X109" s="48" t="s">
        <v>149</v>
      </c>
      <c r="Y109" s="48"/>
    </row>
    <row r="110" spans="1:31" ht="20" x14ac:dyDescent="0.25">
      <c r="X110" s="49" t="s">
        <v>150</v>
      </c>
      <c r="Y110" s="39">
        <f>NPV(AE108,X108,Y108,Z108,AA108,AB108)</f>
        <v>143382114934.2793</v>
      </c>
    </row>
    <row r="111" spans="1:31" ht="20" x14ac:dyDescent="0.25">
      <c r="X111" s="49" t="s">
        <v>151</v>
      </c>
      <c r="Y111" s="39">
        <f>W40</f>
        <v>7893806000</v>
      </c>
    </row>
    <row r="112" spans="1:31" ht="20" x14ac:dyDescent="0.25">
      <c r="X112" s="49" t="s">
        <v>139</v>
      </c>
      <c r="Y112" s="39">
        <f>AE99</f>
        <v>3325756000</v>
      </c>
    </row>
    <row r="113" spans="24:25" ht="20" x14ac:dyDescent="0.25">
      <c r="X113" s="49" t="s">
        <v>152</v>
      </c>
      <c r="Y113" s="39">
        <f>Y110+Y111-Y112</f>
        <v>147950164934.2793</v>
      </c>
    </row>
    <row r="114" spans="24:25" ht="20" x14ac:dyDescent="0.25">
      <c r="X114" s="49" t="s">
        <v>153</v>
      </c>
      <c r="Y114" s="49">
        <f>W34*(1+(5*AC16))</f>
        <v>625506115.32664871</v>
      </c>
    </row>
    <row r="115" spans="24:25" ht="20" x14ac:dyDescent="0.25">
      <c r="X115" s="50" t="s">
        <v>154</v>
      </c>
      <c r="Y115" s="51">
        <f>Y113/Y114</f>
        <v>236.5287265928927</v>
      </c>
    </row>
    <row r="116" spans="24:25" ht="20" x14ac:dyDescent="0.25">
      <c r="X116" s="49" t="s">
        <v>155</v>
      </c>
      <c r="Y116" s="52" cm="1">
        <f t="array" ref="Y116">_FV(A1,"Price",TRUE)</f>
        <v>308.45</v>
      </c>
    </row>
    <row r="117" spans="24:25" ht="20" x14ac:dyDescent="0.25">
      <c r="X117" s="50" t="s">
        <v>156</v>
      </c>
      <c r="Y117" s="53">
        <f>Y115/Y116-1</f>
        <v>-0.23316995755262537</v>
      </c>
    </row>
    <row r="118" spans="24:25" ht="20" x14ac:dyDescent="0.25">
      <c r="X118" s="50" t="s">
        <v>157</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 ref="AC106" r:id="rId47" xr:uid="{5E672611-FAAE-274F-8B2B-086E1E6F28AE}"/>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2023-03-13T23:37:24Z</dcterms:created>
  <dcterms:modified xsi:type="dcterms:W3CDTF">2023-07-29T22:18:02Z</dcterms:modified>
</cp:coreProperties>
</file>