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EBDDA17-5BAE-3548-B6CC-8D92BDDE9FC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8" i="1" l="1"/>
  <c r="M108" i="1"/>
  <c r="N108" i="1"/>
  <c r="O108" i="1"/>
  <c r="B105" i="1"/>
  <c r="C105" i="1"/>
  <c r="D105" i="1"/>
  <c r="E105" i="1"/>
  <c r="F105" i="1"/>
  <c r="G105" i="1"/>
  <c r="H105" i="1"/>
  <c r="I105" i="1"/>
  <c r="J105" i="1"/>
  <c r="K105" i="1"/>
  <c r="S94" i="1"/>
  <c r="P30" i="1"/>
  <c r="O30" i="1"/>
  <c r="N30" i="1"/>
  <c r="M30" i="1"/>
  <c r="L30" i="1"/>
  <c r="P29" i="1"/>
  <c r="O29" i="1"/>
  <c r="N29" i="1"/>
  <c r="M29" i="1"/>
  <c r="L29" i="1"/>
  <c r="P21" i="1"/>
  <c r="O21" i="1"/>
  <c r="N21" i="1"/>
  <c r="M21" i="1"/>
  <c r="L21" i="1"/>
  <c r="P20" i="1"/>
  <c r="O20" i="1"/>
  <c r="N20" i="1"/>
  <c r="M20" i="1"/>
  <c r="L20" i="1"/>
  <c r="M116" i="1" l="1" a="1"/>
  <c r="M116" i="1" s="1"/>
  <c r="S101" i="1" a="1"/>
  <c r="S101" i="1" s="1"/>
  <c r="T19"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S4" i="1"/>
  <c r="R4" i="1"/>
  <c r="Q4" i="1"/>
  <c r="P4" i="1"/>
  <c r="O4" i="1"/>
  <c r="N4" i="1"/>
  <c r="M4" i="1"/>
  <c r="L4" i="1"/>
  <c r="K106" i="1"/>
  <c r="T4" i="1" s="1"/>
  <c r="J106" i="1"/>
  <c r="I106" i="1"/>
  <c r="H106" i="1"/>
  <c r="G106" i="1"/>
  <c r="F106" i="1"/>
  <c r="E106" i="1"/>
  <c r="D106" i="1"/>
  <c r="C106"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92" i="1"/>
  <c r="M112" i="1"/>
  <c r="S22" i="1" l="1"/>
  <c r="S19" i="1"/>
  <c r="R19" i="1"/>
  <c r="T22" i="1"/>
  <c r="S106" i="1"/>
  <c r="L105" i="1" s="1"/>
  <c r="S16" i="1"/>
  <c r="T16" i="1"/>
  <c r="R16" i="1"/>
  <c r="S103" i="1"/>
  <c r="S100" i="1" s="1"/>
  <c r="M105" i="1" l="1"/>
  <c r="N105" i="1" s="1"/>
  <c r="O105" i="1" s="1"/>
  <c r="P105" i="1" s="1"/>
  <c r="S102" i="1"/>
  <c r="S105" i="1" s="1"/>
  <c r="S108" i="1" s="1"/>
  <c r="P107" i="1" l="1"/>
  <c r="P108" i="1" s="1"/>
  <c r="M110" i="1" s="1"/>
  <c r="M113" i="1" s="1"/>
  <c r="M115" i="1" s="1"/>
  <c r="M118" i="1" s="1"/>
  <c r="M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<sst xmlns="http://schemas.openxmlformats.org/spreadsheetml/2006/main" count="368" uniqueCount="167">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</sst>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Atlassian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5530090394571638"/>
          <c:w val="0.86958415841584158"/>
          <c:h val="0.702010479529074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5136342610639015"/>
          <c:y val="0.90795311410194124"/>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49212</xdr:rowOff>
    </xdr:from>
    <xdr:to>
      <xdr:col>19</xdr:col>
      <xdr:colOff>31750</xdr:colOff>
      <xdr:row>125</xdr:row>
      <xdr:rowOff>47625</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0.74019999999999997</v>
    <v>4.04</v>
    <v>2.3841999999999999E-2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173.88489999999999</v>
    <v>Software &amp; IT Services</v>
    <v>Stock</v>
    <v>45117.996983460158</v>
    <v>0</v>
    <v>165.631</v>
    <v>44588179128</v>
    <v>ATLASSIAN CORPORATION</v>
    <v>ATLASSIAN CORPORATION</v>
    <v>168.13</v>
    <v>169.45</v>
    <v>173.49</v>
    <v>257007200</v>
    <v>TEAM</v>
    <v>ATLASSIAN CORPORATION (XNAS:TEAM)</v>
    <v>10</v>
    <v>1792480</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23" Type="http://schemas.openxmlformats.org/officeDocument/2006/relationships/drawing" Target="../drawings/drawing1.xm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hyperlink" Target="https://finbox.com/NASDAQGS:TEAM/explorer/fcf_unlev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I79" activePane="bottomRight" state="frozen"/>
      <selection pane="topRight"/>
      <selection pane="bottomLeft"/>
      <selection pane="bottomRight" activeCell="O95" sqref="O95"/>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3">
        <v>2023</v>
      </c>
      <c r="M1" s="23">
        <v>2024</v>
      </c>
      <c r="N1" s="23">
        <v>2025</v>
      </c>
      <c r="O1" s="23">
        <v>2026</v>
      </c>
      <c r="P1" s="23">
        <v>2027</v>
      </c>
    </row>
    <row r="2" spans="1:2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4">
        <v>3510000000</v>
      </c>
      <c r="M3" s="24">
        <v>4192000000</v>
      </c>
      <c r="N3" s="24">
        <v>5201000000</v>
      </c>
      <c r="O3" s="24">
        <v>6342000000</v>
      </c>
      <c r="P3" s="24">
        <v>7079000000</v>
      </c>
      <c r="Q3" s="18" t="s">
        <v>108</v>
      </c>
      <c r="R3" s="19" t="s">
        <v>109</v>
      </c>
      <c r="S3" s="19" t="s">
        <v>110</v>
      </c>
      <c r="T3" s="19" t="s">
        <v>111</v>
      </c>
    </row>
    <row r="4" spans="1:20" ht="19" x14ac:dyDescent="0.25">
      <c r="A4" s="14" t="s">
        <v>93</v>
      </c>
      <c r="B4" s="1"/>
      <c r="C4" s="63">
        <f>(C3/B3)-1</f>
        <v>0.44842840982546872</v>
      </c>
      <c r="D4" s="63">
        <f>(D3/C3)-1</f>
        <v>0.48539112728895573</v>
      </c>
      <c r="E4" s="63">
        <f>(E3/D3)-1</f>
        <v>0.43044745102825788</v>
      </c>
      <c r="F4" s="63">
        <f t="shared" ref="F4:P4" si="0">(F3/E3)-1</f>
        <v>0.35636177465442032</v>
      </c>
      <c r="G4" s="63">
        <f t="shared" si="0"/>
        <v>0.40974229597893985</v>
      </c>
      <c r="H4" s="63">
        <f t="shared" si="0"/>
        <v>0.38466388237313343</v>
      </c>
      <c r="I4" s="63">
        <f t="shared" si="0"/>
        <v>0.33388726968326465</v>
      </c>
      <c r="J4" s="63">
        <f t="shared" si="0"/>
        <v>0.29424293430753701</v>
      </c>
      <c r="K4" s="63">
        <f t="shared" si="0"/>
        <v>0.34164906765106284</v>
      </c>
      <c r="L4" s="16">
        <f t="shared" si="0"/>
        <v>0.25228247211263266</v>
      </c>
      <c r="M4" s="16">
        <f t="shared" si="0"/>
        <v>0.19430199430199435</v>
      </c>
      <c r="N4" s="16">
        <f t="shared" si="0"/>
        <v>0.24069656488549618</v>
      </c>
      <c r="O4" s="16">
        <f t="shared" si="0"/>
        <v>0.21938088829071334</v>
      </c>
      <c r="P4" s="16">
        <f t="shared" si="0"/>
        <v>0.11620939766635141</v>
      </c>
      <c r="Q4" s="17">
        <f>(K4+J4+I4)/3</f>
        <v>0.32325975721395483</v>
      </c>
      <c r="R4" s="17">
        <f>(K20+J20+I20)/3</f>
        <v>0.18919412795489507</v>
      </c>
      <c r="S4" s="17">
        <f>(K29+J29+I29)/3</f>
        <v>0.13922163548016184</v>
      </c>
      <c r="T4" s="17">
        <f>(K106+J106+I106)/3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112</v>
      </c>
      <c r="R6" s="19" t="s">
        <v>113</v>
      </c>
      <c r="S6" s="19" t="s">
        <v>114</v>
      </c>
      <c r="T6" s="19" t="s">
        <v>115</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K107/K3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94</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95</v>
      </c>
      <c r="R9" s="19" t="s">
        <v>96</v>
      </c>
      <c r="S9" s="19" t="s">
        <v>97</v>
      </c>
      <c r="T9" s="19" t="s">
        <v>98</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116</v>
      </c>
      <c r="R12" s="19" t="s">
        <v>117</v>
      </c>
      <c r="S12" s="19" t="s">
        <v>118</v>
      </c>
      <c r="T12" s="19" t="s">
        <v>119</v>
      </c>
    </row>
    <row r="13" spans="1:20" ht="19" x14ac:dyDescent="0.25">
      <c r="A13" s="14" t="s">
        <v>99</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91</v>
      </c>
      <c r="C14" s="1" t="s">
        <v>91</v>
      </c>
      <c r="D14" s="1" t="s">
        <v>91</v>
      </c>
      <c r="E14" s="1" t="s">
        <v>91</v>
      </c>
      <c r="F14" s="1" t="s">
        <v>91</v>
      </c>
      <c r="G14" s="1" t="s">
        <v>91</v>
      </c>
      <c r="H14" s="1" t="s">
        <v>91</v>
      </c>
      <c r="I14" s="1" t="s">
        <v>91</v>
      </c>
      <c r="J14" s="1" t="s">
        <v>91</v>
      </c>
      <c r="K14" s="1" t="s">
        <v>91</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120</v>
      </c>
      <c r="R15" s="19" t="s">
        <v>121</v>
      </c>
      <c r="S15" s="19" t="s">
        <v>122</v>
      </c>
      <c r="T15" s="19" t="s">
        <v>123</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5">
        <f>(K35+J35+I35+H35+G35)/5</f>
        <v>2.6573113665885339E-2</v>
      </c>
      <c r="R16" s="30">
        <f>S101/K3</f>
        <v>15.907975836299922</v>
      </c>
      <c r="S16" s="30">
        <f>S101/K28</f>
        <v>-72.604521445180453</v>
      </c>
      <c r="T16" s="31">
        <f>S101/K107</f>
        <v>55.122332475784866</v>
      </c>
    </row>
    <row r="17" spans="1:20" ht="19" x14ac:dyDescent="0.25">
      <c r="A17" s="5" t="s">
        <v>12</v>
      </c>
      <c r="B17" s="1">
        <v>272000</v>
      </c>
      <c r="C17" s="1">
        <v>228000</v>
      </c>
      <c r="D17" s="1">
        <v>74000</v>
      </c>
      <c r="E17" s="1">
        <v>71000</v>
      </c>
      <c r="F17" s="1">
        <v>75000</v>
      </c>
      <c r="G17" s="1">
        <v>6806000</v>
      </c>
      <c r="H17" s="1">
        <v>40241000</v>
      </c>
      <c r="I17" s="1">
        <v>49610000</v>
      </c>
      <c r="J17" s="1">
        <v>122713000</v>
      </c>
      <c r="K17" s="1">
        <v>25824000</v>
      </c>
    </row>
    <row r="18" spans="1:20"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124</v>
      </c>
      <c r="R18" s="19" t="s">
        <v>158</v>
      </c>
      <c r="S18" s="19" t="s">
        <v>159</v>
      </c>
      <c r="T18" s="19" t="s">
        <v>160</v>
      </c>
    </row>
    <row r="19" spans="1:20"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L19" s="34">
        <v>733600000</v>
      </c>
      <c r="M19" s="34">
        <v>789100000</v>
      </c>
      <c r="N19" s="34">
        <v>1067000000</v>
      </c>
      <c r="O19" s="34">
        <v>1313000000</v>
      </c>
      <c r="P19" s="34">
        <v>1466000000</v>
      </c>
      <c r="Q19" s="26">
        <f>K40-K56-K61</f>
        <v>144068000</v>
      </c>
      <c r="R19" s="30">
        <f>S101/L3</f>
        <v>12.703184936752137</v>
      </c>
      <c r="S19" s="30">
        <f>S101/L28</f>
        <v>97.205535487246564</v>
      </c>
      <c r="T19" s="31">
        <f>S101/L106</f>
        <v>66.878924745762717</v>
      </c>
    </row>
    <row r="20" spans="1:20" ht="19" customHeight="1" x14ac:dyDescent="0.25">
      <c r="A20" s="14" t="s">
        <v>100</v>
      </c>
      <c r="B20" s="1"/>
      <c r="C20" s="15">
        <f>(C19/B19)-1</f>
        <v>0.50714135243311564</v>
      </c>
      <c r="D20" s="15">
        <f>(D19/C19)-1</f>
        <v>-0.58526221625852615</v>
      </c>
      <c r="E20" s="15">
        <f>(E19/D19)-1</f>
        <v>0.15192774332704229</v>
      </c>
      <c r="F20" s="15">
        <f t="shared" ref="F20:P20" si="3">(F19/E19)-1</f>
        <v>-0.88478642480983027</v>
      </c>
      <c r="G20" s="15">
        <f t="shared" si="3"/>
        <v>9.3641442356526152</v>
      </c>
      <c r="H20" s="15">
        <f t="shared" si="3"/>
        <v>-25.259665800950653</v>
      </c>
      <c r="I20" s="15">
        <f t="shared" si="3"/>
        <v>-0.59762819981941839</v>
      </c>
      <c r="J20" s="15">
        <f t="shared" si="3"/>
        <v>1.1039201610433684</v>
      </c>
      <c r="K20" s="15">
        <f t="shared" si="3"/>
        <v>6.1290422640735143E-2</v>
      </c>
      <c r="L20" s="16">
        <f t="shared" si="3"/>
        <v>-2.649317655522831</v>
      </c>
      <c r="M20" s="16">
        <f t="shared" si="3"/>
        <v>7.5654307524536613E-2</v>
      </c>
      <c r="N20" s="16">
        <f t="shared" si="3"/>
        <v>0.35217336205804073</v>
      </c>
      <c r="O20" s="16">
        <f t="shared" si="3"/>
        <v>0.23055295220243677</v>
      </c>
      <c r="P20" s="16">
        <f t="shared" si="3"/>
        <v>0.11652703731911651</v>
      </c>
    </row>
    <row r="21" spans="1:20" ht="20"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c r="L21" s="35">
        <f>L19/L3</f>
        <v>0.20900284900284899</v>
      </c>
      <c r="M21" s="35">
        <f t="shared" ref="M21:P21" si="4">M19/M3</f>
        <v>0.18823950381679388</v>
      </c>
      <c r="N21" s="35">
        <f t="shared" si="4"/>
        <v>0.20515285522014998</v>
      </c>
      <c r="O21" s="35">
        <f t="shared" si="4"/>
        <v>0.20703248186691894</v>
      </c>
      <c r="P21" s="35">
        <f t="shared" si="4"/>
        <v>0.20709139708998447</v>
      </c>
      <c r="S21" s="18" t="s">
        <v>161</v>
      </c>
      <c r="T21" s="19" t="s">
        <v>162</v>
      </c>
    </row>
    <row r="22" spans="1:20"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c r="S22" s="32">
        <f>(-1*K98)/S101</f>
        <v>0</v>
      </c>
      <c r="T22" s="33">
        <f>K107/S101</f>
        <v>1.8141467443151069E-2</v>
      </c>
    </row>
    <row r="23" spans="1:20"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20"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20"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20"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20"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20"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c r="L28" s="36">
        <v>458700000</v>
      </c>
      <c r="M28" s="36">
        <v>547500000</v>
      </c>
      <c r="N28" s="36">
        <v>745300000</v>
      </c>
      <c r="O28" s="36">
        <v>1247000000</v>
      </c>
      <c r="P28" s="36">
        <v>1269000000</v>
      </c>
    </row>
    <row r="29" spans="1:20" ht="20" customHeight="1" thickTop="1" x14ac:dyDescent="0.25">
      <c r="A29" s="14" t="s">
        <v>101</v>
      </c>
      <c r="B29" s="1"/>
      <c r="C29" s="15">
        <f>(C28/B28)-1</f>
        <v>0.76396245702072307</v>
      </c>
      <c r="D29" s="15">
        <f>(D28/C28)-1</f>
        <v>-0.64308292066167949</v>
      </c>
      <c r="E29" s="15">
        <f>(E28/D28)-1</f>
        <v>-0.35453874538745389</v>
      </c>
      <c r="F29" s="15">
        <f t="shared" ref="F29:P29" si="5">(F28/E28)-1</f>
        <v>-10.719643265492797</v>
      </c>
      <c r="G29" s="15">
        <f t="shared" si="5"/>
        <v>1.8077592697157914</v>
      </c>
      <c r="H29" s="15">
        <f t="shared" si="5"/>
        <v>4.3428494817372068</v>
      </c>
      <c r="I29" s="15">
        <f t="shared" si="5"/>
        <v>-0.4500588907830827</v>
      </c>
      <c r="J29" s="15">
        <f t="shared" si="5"/>
        <v>0.98576089250372156</v>
      </c>
      <c r="K29" s="15">
        <f t="shared" si="5"/>
        <v>-0.11803709528015338</v>
      </c>
      <c r="L29" s="16">
        <f t="shared" si="5"/>
        <v>-1.7469175606229361</v>
      </c>
      <c r="M29" s="16">
        <f t="shared" si="5"/>
        <v>0.19359058207979074</v>
      </c>
      <c r="N29" s="16">
        <f t="shared" si="5"/>
        <v>0.36127853881278549</v>
      </c>
      <c r="O29" s="16">
        <f t="shared" si="5"/>
        <v>0.6731517509727627</v>
      </c>
      <c r="P29" s="16">
        <f t="shared" si="5"/>
        <v>1.7642341619887647E-2</v>
      </c>
    </row>
    <row r="30" spans="1:20"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c r="L30" s="37">
        <f>L28/L3</f>
        <v>0.1306837606837607</v>
      </c>
      <c r="M30" s="37">
        <f t="shared" ref="M30:P30" si="6">M28/M3</f>
        <v>0.13060591603053434</v>
      </c>
      <c r="N30" s="37">
        <f t="shared" si="6"/>
        <v>0.14329936550663333</v>
      </c>
      <c r="O30" s="37">
        <f t="shared" si="6"/>
        <v>0.19662567013560392</v>
      </c>
      <c r="P30" s="37">
        <f t="shared" si="6"/>
        <v>0.1792626077129538</v>
      </c>
    </row>
    <row r="31" spans="1:20" ht="19" x14ac:dyDescent="0.25">
      <c r="A31" s="5" t="s">
        <v>24</v>
      </c>
      <c r="B31" s="12">
        <v>0.05</v>
      </c>
      <c r="C31" s="12">
        <v>0.09</v>
      </c>
      <c r="D31" s="12">
        <v>0.03</v>
      </c>
      <c r="E31" s="12">
        <v>0.02</v>
      </c>
      <c r="F31" s="12">
        <v>-0.19</v>
      </c>
      <c r="G31" s="12">
        <v>-0.52</v>
      </c>
      <c r="H31" s="12">
        <v>-2.67</v>
      </c>
      <c r="I31" s="12">
        <v>-1.43</v>
      </c>
      <c r="J31" s="12">
        <v>-2.79</v>
      </c>
      <c r="K31" s="12">
        <v>-2.42</v>
      </c>
      <c r="L31" s="38">
        <v>1.78</v>
      </c>
      <c r="M31" s="38">
        <v>2.13</v>
      </c>
      <c r="N31" s="38">
        <v>2.9</v>
      </c>
      <c r="O31" s="38">
        <v>4.8499999999999996</v>
      </c>
      <c r="P31" s="38">
        <v>4.9400000000000004</v>
      </c>
    </row>
    <row r="32" spans="1:20"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102</v>
      </c>
      <c r="B35" s="1"/>
      <c r="C35" s="22">
        <f>(C34-B34)/B34</f>
        <v>0</v>
      </c>
      <c r="D35" s="22">
        <f t="shared" ref="D35:K35" si="7">(D34-C34)/C34</f>
        <v>0</v>
      </c>
      <c r="E35" s="22">
        <f t="shared" si="7"/>
        <v>-7.2812361841166032E-2</v>
      </c>
      <c r="F35" s="22">
        <f t="shared" si="7"/>
        <v>0.14855722267302732</v>
      </c>
      <c r="G35" s="22">
        <f t="shared" si="7"/>
        <v>4.0319677442580457E-2</v>
      </c>
      <c r="H35" s="22">
        <f t="shared" si="7"/>
        <v>3.212592566959651E-2</v>
      </c>
      <c r="I35" s="22">
        <f t="shared" si="7"/>
        <v>2.6122014492206982E-2</v>
      </c>
      <c r="J35" s="22">
        <f t="shared" si="7"/>
        <v>1.9747267647971769E-2</v>
      </c>
      <c r="K35" s="22">
        <f t="shared" si="7"/>
        <v>1.4550683077070959E-2</v>
      </c>
    </row>
    <row r="36" spans="1:11" ht="19" x14ac:dyDescent="0.25">
      <c r="A36" s="5" t="s">
        <v>28</v>
      </c>
      <c r="B36" s="13" t="s">
        <v>92</v>
      </c>
      <c r="C36" s="13" t="s">
        <v>92</v>
      </c>
      <c r="D36" s="13" t="s">
        <v>92</v>
      </c>
      <c r="E36" s="13" t="s">
        <v>92</v>
      </c>
      <c r="F36" s="13" t="s">
        <v>92</v>
      </c>
      <c r="G36" s="13" t="s">
        <v>92</v>
      </c>
      <c r="H36" s="13" t="s">
        <v>92</v>
      </c>
      <c r="I36" s="13" t="s">
        <v>92</v>
      </c>
      <c r="J36" s="13" t="s">
        <v>92</v>
      </c>
      <c r="K36" s="13" t="s">
        <v>92</v>
      </c>
    </row>
    <row r="37" spans="1:11" ht="21" x14ac:dyDescent="0.25">
      <c r="A37" s="4" t="s">
        <v>29</v>
      </c>
      <c r="B37" s="9" t="s">
        <v>90</v>
      </c>
      <c r="C37" s="9" t="s">
        <v>90</v>
      </c>
      <c r="D37" s="9" t="s">
        <v>90</v>
      </c>
      <c r="E37" s="9" t="s">
        <v>90</v>
      </c>
      <c r="F37" s="9" t="s">
        <v>90</v>
      </c>
      <c r="G37" s="9" t="s">
        <v>90</v>
      </c>
      <c r="H37" s="9" t="s">
        <v>90</v>
      </c>
      <c r="I37" s="9" t="s">
        <v>90</v>
      </c>
      <c r="J37" s="9" t="s">
        <v>90</v>
      </c>
      <c r="K37" s="9" t="s">
        <v>90</v>
      </c>
    </row>
    <row r="38" spans="1:11" ht="19" x14ac:dyDescent="0.25">
      <c r="A38" s="5" t="s">
        <v>30</v>
      </c>
      <c r="B38" s="1" t="s">
        <v>91</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91</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91</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91</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91</v>
      </c>
      <c r="C42" s="1" t="s">
        <v>91</v>
      </c>
      <c r="D42" s="1" t="s">
        <v>91</v>
      </c>
      <c r="E42" s="1" t="s">
        <v>91</v>
      </c>
      <c r="F42" s="1" t="s">
        <v>91</v>
      </c>
      <c r="G42" s="1" t="s">
        <v>91</v>
      </c>
      <c r="H42" s="1" t="s">
        <v>91</v>
      </c>
      <c r="I42" s="1" t="s">
        <v>91</v>
      </c>
      <c r="J42" s="1" t="s">
        <v>91</v>
      </c>
      <c r="K42" s="1" t="s">
        <v>91</v>
      </c>
    </row>
    <row r="43" spans="1:11" ht="19" x14ac:dyDescent="0.25">
      <c r="A43" s="5" t="s">
        <v>35</v>
      </c>
      <c r="B43" s="1" t="s">
        <v>91</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91</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91</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91</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91</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91</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91</v>
      </c>
      <c r="C49" s="1" t="s">
        <v>91</v>
      </c>
      <c r="D49" s="1" t="s">
        <v>91</v>
      </c>
      <c r="E49" s="1" t="s">
        <v>91</v>
      </c>
      <c r="F49" s="1" t="s">
        <v>91</v>
      </c>
      <c r="G49" s="1" t="s">
        <v>91</v>
      </c>
      <c r="H49" s="1">
        <v>61932000</v>
      </c>
      <c r="I49" s="1">
        <v>103937000</v>
      </c>
      <c r="J49" s="1">
        <v>122159000</v>
      </c>
      <c r="K49" s="1">
        <v>159064000</v>
      </c>
    </row>
    <row r="50" spans="1:11" ht="19" x14ac:dyDescent="0.25">
      <c r="A50" s="5" t="s">
        <v>42</v>
      </c>
      <c r="B50" s="1" t="s">
        <v>91</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91</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91</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91</v>
      </c>
      <c r="C53" s="1" t="s">
        <v>91</v>
      </c>
      <c r="D53" s="1" t="s">
        <v>91</v>
      </c>
      <c r="E53" s="1" t="s">
        <v>91</v>
      </c>
      <c r="F53" s="1" t="s">
        <v>91</v>
      </c>
      <c r="G53" s="1" t="s">
        <v>91</v>
      </c>
      <c r="H53" s="1" t="s">
        <v>91</v>
      </c>
      <c r="I53" s="1" t="s">
        <v>91</v>
      </c>
      <c r="J53" s="1" t="s">
        <v>91</v>
      </c>
      <c r="K53" s="1" t="s">
        <v>91</v>
      </c>
    </row>
    <row r="54" spans="1:11" ht="20" thickBot="1" x14ac:dyDescent="0.3">
      <c r="A54" s="7" t="s">
        <v>46</v>
      </c>
      <c r="B54" s="11" t="s">
        <v>91</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91</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91</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91</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91</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91</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91</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91</v>
      </c>
      <c r="C61" s="1" t="s">
        <v>91</v>
      </c>
      <c r="D61" s="1" t="s">
        <v>91</v>
      </c>
      <c r="E61" s="1" t="s">
        <v>91</v>
      </c>
      <c r="F61" s="1" t="s">
        <v>91</v>
      </c>
      <c r="G61" s="1">
        <v>819637000</v>
      </c>
      <c r="H61" s="1" t="s">
        <v>91</v>
      </c>
      <c r="I61" s="1">
        <v>229825000</v>
      </c>
      <c r="J61" s="1">
        <v>214103000</v>
      </c>
      <c r="K61" s="1">
        <v>1273853000</v>
      </c>
    </row>
    <row r="62" spans="1:11" ht="19" x14ac:dyDescent="0.25">
      <c r="A62" s="5" t="s">
        <v>50</v>
      </c>
      <c r="B62" s="1" t="s">
        <v>91</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91</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91</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91</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91</v>
      </c>
      <c r="C66" s="1" t="s">
        <v>91</v>
      </c>
      <c r="D66" s="1" t="s">
        <v>91</v>
      </c>
      <c r="E66" s="1" t="s">
        <v>91</v>
      </c>
      <c r="F66" s="1" t="s">
        <v>91</v>
      </c>
      <c r="G66" s="1" t="s">
        <v>91</v>
      </c>
      <c r="H66" s="1" t="s">
        <v>91</v>
      </c>
      <c r="I66" s="1" t="s">
        <v>91</v>
      </c>
      <c r="J66" s="1" t="s">
        <v>91</v>
      </c>
      <c r="K66" s="1" t="s">
        <v>91</v>
      </c>
    </row>
    <row r="67" spans="1:11" ht="19" x14ac:dyDescent="0.25">
      <c r="A67" s="6" t="s">
        <v>58</v>
      </c>
      <c r="B67" s="10" t="s">
        <v>91</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91</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91</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91</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91</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91</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91</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92</v>
      </c>
      <c r="C74" s="13" t="s">
        <v>92</v>
      </c>
      <c r="D74" s="13" t="s">
        <v>92</v>
      </c>
      <c r="E74" s="13" t="s">
        <v>92</v>
      </c>
      <c r="F74" s="13" t="s">
        <v>92</v>
      </c>
      <c r="G74" s="13" t="s">
        <v>92</v>
      </c>
      <c r="H74" s="13" t="s">
        <v>92</v>
      </c>
      <c r="I74" s="13" t="s">
        <v>92</v>
      </c>
      <c r="J74" s="13" t="s">
        <v>92</v>
      </c>
      <c r="K74" s="13" t="s">
        <v>92</v>
      </c>
    </row>
    <row r="75" spans="1:11" ht="21" x14ac:dyDescent="0.25">
      <c r="A75" s="4" t="s">
        <v>65</v>
      </c>
      <c r="B75" s="9" t="s">
        <v>90</v>
      </c>
      <c r="C75" s="9" t="s">
        <v>90</v>
      </c>
      <c r="D75" s="9" t="s">
        <v>90</v>
      </c>
      <c r="E75" s="9" t="s">
        <v>90</v>
      </c>
      <c r="F75" s="9" t="s">
        <v>90</v>
      </c>
      <c r="G75" s="9" t="s">
        <v>90</v>
      </c>
      <c r="H75" s="9" t="s">
        <v>90</v>
      </c>
      <c r="I75" s="9" t="s">
        <v>90</v>
      </c>
      <c r="J75" s="9" t="s">
        <v>90</v>
      </c>
      <c r="K75" s="9" t="s">
        <v>90</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91</v>
      </c>
      <c r="C78" s="1" t="s">
        <v>91</v>
      </c>
      <c r="D78" s="1" t="s">
        <v>91</v>
      </c>
      <c r="E78" s="1" t="s">
        <v>91</v>
      </c>
      <c r="F78" s="1" t="s">
        <v>91</v>
      </c>
      <c r="G78" s="1" t="s">
        <v>91</v>
      </c>
      <c r="H78" s="1" t="s">
        <v>91</v>
      </c>
      <c r="I78" s="1" t="s">
        <v>91</v>
      </c>
      <c r="J78" s="1" t="s">
        <v>91</v>
      </c>
      <c r="K78" s="1" t="s">
        <v>91</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103</v>
      </c>
      <c r="B80" s="15">
        <f t="shared" ref="B80:K80" si="8">B79/B3</f>
        <v>2.3506517991812109E-2</v>
      </c>
      <c r="C80" s="15">
        <f t="shared" si="8"/>
        <v>5.2829030863422728E-2</v>
      </c>
      <c r="D80" s="15">
        <f t="shared" si="8"/>
        <v>0.12998832627589424</v>
      </c>
      <c r="E80" s="15">
        <f t="shared" si="8"/>
        <v>0.16514315469809082</v>
      </c>
      <c r="F80" s="15">
        <f t="shared" si="8"/>
        <v>0.22171320910545605</v>
      </c>
      <c r="G80" s="15">
        <f t="shared" si="8"/>
        <v>0.18636420847874594</v>
      </c>
      <c r="H80" s="15">
        <f t="shared" si="8"/>
        <v>0.21300408965340001</v>
      </c>
      <c r="I80" s="15">
        <f t="shared" si="8"/>
        <v>0.19415205185565612</v>
      </c>
      <c r="J80" s="15">
        <f t="shared" si="8"/>
        <v>0.1846374475140872</v>
      </c>
      <c r="K80" s="15">
        <f t="shared" si="8"/>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91</v>
      </c>
      <c r="C82" s="1">
        <v>-1959000</v>
      </c>
      <c r="D82" s="1" t="s">
        <v>91</v>
      </c>
      <c r="E82" s="1">
        <v>-3487000</v>
      </c>
      <c r="F82" s="1">
        <v>-10208000</v>
      </c>
      <c r="G82" s="1">
        <v>-19635000</v>
      </c>
      <c r="H82" s="1">
        <v>-30211000</v>
      </c>
      <c r="I82" s="1">
        <v>-29440000</v>
      </c>
      <c r="J82" s="1">
        <v>-61256000</v>
      </c>
      <c r="K82" s="1">
        <v>-134764000</v>
      </c>
    </row>
    <row r="83" spans="1:19" ht="21" x14ac:dyDescent="0.25">
      <c r="A83" s="5" t="s">
        <v>34</v>
      </c>
      <c r="B83" s="1" t="s">
        <v>91</v>
      </c>
      <c r="C83" s="1" t="s">
        <v>91</v>
      </c>
      <c r="D83" s="1" t="s">
        <v>91</v>
      </c>
      <c r="E83" s="1" t="s">
        <v>91</v>
      </c>
      <c r="F83" s="1" t="s">
        <v>91</v>
      </c>
      <c r="G83" s="1" t="s">
        <v>91</v>
      </c>
      <c r="H83" s="1" t="s">
        <v>91</v>
      </c>
      <c r="I83" s="1" t="s">
        <v>91</v>
      </c>
      <c r="J83" s="1" t="s">
        <v>91</v>
      </c>
      <c r="K83" s="1" t="s">
        <v>91</v>
      </c>
      <c r="R83" s="65" t="s">
        <v>125</v>
      </c>
      <c r="S83" s="66"/>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91</v>
      </c>
      <c r="R84" s="67" t="s">
        <v>126</v>
      </c>
      <c r="S84" s="67"/>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39" t="s">
        <v>127</v>
      </c>
      <c r="S85" s="40">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39" t="s">
        <v>128</v>
      </c>
      <c r="S86" s="40">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39" t="s">
        <v>129</v>
      </c>
      <c r="S87" s="40">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41" t="s">
        <v>130</v>
      </c>
      <c r="S88" s="42">
        <f>S85/(S86+S87)</f>
        <v>1.9645627090638124E-2</v>
      </c>
    </row>
    <row r="89" spans="1:19" ht="20" customHeight="1" x14ac:dyDescent="0.25">
      <c r="A89" s="14" t="s">
        <v>104</v>
      </c>
      <c r="B89" s="15">
        <f t="shared" ref="B89:K89" si="9">(-1*B88)/B3</f>
        <v>4.8790670114199526E-2</v>
      </c>
      <c r="C89" s="15">
        <f t="shared" si="9"/>
        <v>3.7701816288486303E-2</v>
      </c>
      <c r="D89" s="15">
        <f t="shared" si="9"/>
        <v>9.9448862516078762E-2</v>
      </c>
      <c r="E89" s="15">
        <f t="shared" si="9"/>
        <v>7.4854832428269499E-2</v>
      </c>
      <c r="F89" s="15">
        <f t="shared" si="9"/>
        <v>2.4404132039436328E-2</v>
      </c>
      <c r="G89" s="15">
        <f t="shared" si="9"/>
        <v>3.4566050689398706E-2</v>
      </c>
      <c r="H89" s="15">
        <f t="shared" si="9"/>
        <v>3.6518481118097523E-2</v>
      </c>
      <c r="I89" s="15">
        <f t="shared" si="9"/>
        <v>2.212216410508663E-2</v>
      </c>
      <c r="J89" s="15">
        <f t="shared" si="9"/>
        <v>1.5087605761627317E-2</v>
      </c>
      <c r="K89" s="15">
        <f t="shared" si="9"/>
        <v>2.5182294509722494E-2</v>
      </c>
      <c r="R89" s="39" t="s">
        <v>105</v>
      </c>
      <c r="S89" s="40">
        <f>K27</f>
        <v>49552000</v>
      </c>
    </row>
    <row r="90" spans="1:19" ht="20" x14ac:dyDescent="0.25">
      <c r="A90" s="5" t="s">
        <v>75</v>
      </c>
      <c r="B90" s="1" t="s">
        <v>91</v>
      </c>
      <c r="C90" s="1" t="s">
        <v>91</v>
      </c>
      <c r="D90" s="1">
        <v>-10615000</v>
      </c>
      <c r="E90" s="1" t="s">
        <v>91</v>
      </c>
      <c r="F90" s="1">
        <v>-381090000</v>
      </c>
      <c r="G90" s="1" t="s">
        <v>91</v>
      </c>
      <c r="H90" s="1">
        <v>-418595000</v>
      </c>
      <c r="I90" s="1">
        <v>-53212000</v>
      </c>
      <c r="J90" s="1">
        <v>-91584000</v>
      </c>
      <c r="K90" s="1">
        <v>-12377000</v>
      </c>
      <c r="R90" s="39" t="s">
        <v>19</v>
      </c>
      <c r="S90" s="40">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41" t="s">
        <v>131</v>
      </c>
      <c r="S91" s="42">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41" t="s">
        <v>132</v>
      </c>
      <c r="S92" s="42">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7" t="s">
        <v>133</v>
      </c>
      <c r="S93" s="67"/>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39" t="s">
        <v>134</v>
      </c>
      <c r="S94" s="43">
        <f>[1]Treasuries!$C$8</f>
        <v>3.9120000000000002E-2</v>
      </c>
    </row>
    <row r="95" spans="1:19" ht="20" x14ac:dyDescent="0.25">
      <c r="A95" s="5" t="s">
        <v>80</v>
      </c>
      <c r="B95" s="1" t="s">
        <v>91</v>
      </c>
      <c r="C95" s="1" t="s">
        <v>91</v>
      </c>
      <c r="D95" s="1" t="s">
        <v>91</v>
      </c>
      <c r="E95" s="1" t="s">
        <v>91</v>
      </c>
      <c r="F95" s="1" t="s">
        <v>91</v>
      </c>
      <c r="G95" s="1" t="s">
        <v>91</v>
      </c>
      <c r="H95" s="1" t="s">
        <v>91</v>
      </c>
      <c r="I95" s="1">
        <v>-38127000</v>
      </c>
      <c r="J95" s="1">
        <v>-1848118000</v>
      </c>
      <c r="K95" s="1">
        <v>-1597828000</v>
      </c>
      <c r="R95" s="39" t="s">
        <v>135</v>
      </c>
      <c r="S95" s="44" cm="1">
        <f t="array" ref="S95">_FV(A1,"Beta")</f>
        <v>0.74019999999999997</v>
      </c>
    </row>
    <row r="96" spans="1:19" ht="20" x14ac:dyDescent="0.25">
      <c r="A96" s="5" t="s">
        <v>81</v>
      </c>
      <c r="B96" s="1" t="s">
        <v>91</v>
      </c>
      <c r="C96" s="1" t="s">
        <v>91</v>
      </c>
      <c r="D96" s="1" t="s">
        <v>91</v>
      </c>
      <c r="E96" s="1">
        <v>431447000</v>
      </c>
      <c r="F96" s="1" t="s">
        <v>91</v>
      </c>
      <c r="G96" s="1" t="s">
        <v>91</v>
      </c>
      <c r="H96" s="1" t="s">
        <v>91</v>
      </c>
      <c r="I96" s="1" t="s">
        <v>91</v>
      </c>
      <c r="J96" s="1" t="s">
        <v>91</v>
      </c>
      <c r="K96" s="1" t="s">
        <v>91</v>
      </c>
      <c r="R96" s="39" t="s">
        <v>136</v>
      </c>
      <c r="S96" s="43">
        <v>8.4000000000000005E-2</v>
      </c>
    </row>
    <row r="97" spans="1:19" ht="20" x14ac:dyDescent="0.25">
      <c r="A97" s="5" t="s">
        <v>82</v>
      </c>
      <c r="B97" s="1" t="s">
        <v>91</v>
      </c>
      <c r="C97" s="1" t="s">
        <v>91</v>
      </c>
      <c r="D97" s="1" t="s">
        <v>91</v>
      </c>
      <c r="E97" s="1" t="s">
        <v>91</v>
      </c>
      <c r="F97" s="1" t="s">
        <v>91</v>
      </c>
      <c r="G97" s="1" t="s">
        <v>91</v>
      </c>
      <c r="H97" s="1" t="s">
        <v>91</v>
      </c>
      <c r="I97" s="1" t="s">
        <v>91</v>
      </c>
      <c r="J97" s="1" t="s">
        <v>91</v>
      </c>
      <c r="K97" s="1" t="s">
        <v>91</v>
      </c>
      <c r="R97" s="41" t="s">
        <v>137</v>
      </c>
      <c r="S97" s="42">
        <f>(S94)+((S95)*(S96-S94))</f>
        <v>7.2340176000000006E-2</v>
      </c>
    </row>
    <row r="98" spans="1:19" ht="19" x14ac:dyDescent="0.25">
      <c r="A98" s="5" t="s">
        <v>83</v>
      </c>
      <c r="B98" s="1">
        <v>-2201000</v>
      </c>
      <c r="C98" s="1">
        <v>-10000000</v>
      </c>
      <c r="D98" s="1" t="s">
        <v>91</v>
      </c>
      <c r="E98" s="1" t="s">
        <v>91</v>
      </c>
      <c r="F98" s="1" t="s">
        <v>91</v>
      </c>
      <c r="G98" s="1" t="s">
        <v>91</v>
      </c>
      <c r="H98" s="1" t="s">
        <v>91</v>
      </c>
      <c r="I98" s="1" t="s">
        <v>91</v>
      </c>
      <c r="J98" s="1" t="s">
        <v>91</v>
      </c>
      <c r="K98" s="1">
        <v>0</v>
      </c>
      <c r="R98" s="67" t="s">
        <v>138</v>
      </c>
      <c r="S98" s="67"/>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39" t="s">
        <v>139</v>
      </c>
      <c r="S99" s="40">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41" t="s">
        <v>140</v>
      </c>
      <c r="S100" s="42">
        <f>S99/S103</f>
        <v>2.8636482285987509E-2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39" t="s">
        <v>141</v>
      </c>
      <c r="S101" s="45" cm="1">
        <f t="array" ref="S101">_FV(A1,"Market cap",TRUE)</f>
        <v>44588179128</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41" t="s">
        <v>142</v>
      </c>
      <c r="S102" s="42">
        <f>S101/S103</f>
        <v>0.97136351771401253</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41" t="s">
        <v>143</v>
      </c>
      <c r="S103" s="46">
        <f>S99+S101</f>
        <v>45902670128</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7" t="s">
        <v>144</v>
      </c>
      <c r="S104" s="67"/>
    </row>
    <row r="105" spans="1:19" ht="21" thickTop="1" x14ac:dyDescent="0.25">
      <c r="A105" s="14" t="s">
        <v>163</v>
      </c>
      <c r="B105" s="1">
        <f t="shared" ref="B105:J105" si="10">(B22*(1-0.2))+B77+B88+B81</f>
        <v>45257200</v>
      </c>
      <c r="C105" s="1">
        <f t="shared" si="10"/>
        <v>54660800</v>
      </c>
      <c r="D105" s="1">
        <f t="shared" si="10"/>
        <v>29684600</v>
      </c>
      <c r="E105" s="1">
        <f t="shared" si="10"/>
        <v>31444000</v>
      </c>
      <c r="F105" s="1">
        <f t="shared" si="10"/>
        <v>63644200</v>
      </c>
      <c r="G105" s="1">
        <f t="shared" si="10"/>
        <v>126999600</v>
      </c>
      <c r="H105" s="1">
        <f t="shared" si="10"/>
        <v>144366400</v>
      </c>
      <c r="I105" s="1">
        <f t="shared" si="10"/>
        <v>215976800</v>
      </c>
      <c r="J105" s="1">
        <f t="shared" si="10"/>
        <v>427595200</v>
      </c>
      <c r="K105" s="1">
        <f>(K22*(1-0.2))+K77+K88+K81</f>
        <v>208561400</v>
      </c>
      <c r="L105" s="27">
        <f>K105*(1+$S$106)</f>
        <v>251227694.78940067</v>
      </c>
      <c r="M105" s="27">
        <f t="shared" ref="M105:P105" si="11">L105*(1+$S$106)</f>
        <v>302622415.40954489</v>
      </c>
      <c r="N105" s="27">
        <f t="shared" si="11"/>
        <v>364531173.1458475</v>
      </c>
      <c r="O105" s="27">
        <f t="shared" si="11"/>
        <v>439104869.39724773</v>
      </c>
      <c r="P105" s="27">
        <f t="shared" si="11"/>
        <v>528934424.63212937</v>
      </c>
      <c r="Q105" s="28" t="s">
        <v>165</v>
      </c>
      <c r="R105" s="47" t="s">
        <v>107</v>
      </c>
      <c r="S105" s="48">
        <f>(S100*S92)+(S102*S97)</f>
        <v>7.0880566792468486E-2</v>
      </c>
    </row>
    <row r="106" spans="1:19" ht="19" x14ac:dyDescent="0.25">
      <c r="A106" s="14" t="s">
        <v>106</v>
      </c>
      <c r="B106" s="1"/>
      <c r="C106" s="15">
        <f t="shared" ref="C106:K106" si="12">(C107/B107)-1</f>
        <v>0.38154428012918573</v>
      </c>
      <c r="D106" s="15">
        <f t="shared" si="12"/>
        <v>8.0589348056780974E-3</v>
      </c>
      <c r="E106" s="15">
        <f t="shared" si="12"/>
        <v>0.45440537035624384</v>
      </c>
      <c r="F106" s="15">
        <f t="shared" si="12"/>
        <v>0.92309790305153738</v>
      </c>
      <c r="G106" s="15">
        <f t="shared" si="12"/>
        <v>0.5341275425878349</v>
      </c>
      <c r="H106" s="15">
        <f t="shared" si="12"/>
        <v>0.4934914861314077</v>
      </c>
      <c r="I106" s="15">
        <f t="shared" si="12"/>
        <v>0.28202314065327116</v>
      </c>
      <c r="J106" s="15">
        <f t="shared" si="12"/>
        <v>0.50048003624877202</v>
      </c>
      <c r="K106" s="15">
        <f t="shared" si="12"/>
        <v>1.0952834742143924E-3</v>
      </c>
      <c r="L106" s="61">
        <v>666700000</v>
      </c>
      <c r="M106" s="61">
        <v>646000000</v>
      </c>
      <c r="N106" s="61">
        <v>920100000</v>
      </c>
      <c r="O106" s="61">
        <v>1329000000</v>
      </c>
      <c r="P106" s="61">
        <v>1643000000</v>
      </c>
      <c r="Q106" s="28" t="s">
        <v>166</v>
      </c>
      <c r="R106" s="49" t="s">
        <v>145</v>
      </c>
      <c r="S106" s="50">
        <f>(SUM(L4:P4)/5)</f>
        <v>0.20457426345143759</v>
      </c>
    </row>
    <row r="107" spans="1:19" ht="19" x14ac:dyDescent="0.25">
      <c r="A107" s="60" t="s">
        <v>164</v>
      </c>
      <c r="B107" s="1">
        <v>47064000</v>
      </c>
      <c r="C107" s="1">
        <v>65021000</v>
      </c>
      <c r="D107" s="1">
        <v>65545000</v>
      </c>
      <c r="E107" s="1">
        <v>95329000</v>
      </c>
      <c r="F107" s="1">
        <v>183327000</v>
      </c>
      <c r="G107" s="1">
        <v>281247000</v>
      </c>
      <c r="H107" s="1">
        <v>420040000</v>
      </c>
      <c r="I107" s="1">
        <v>538501000</v>
      </c>
      <c r="J107" s="1">
        <v>808010000</v>
      </c>
      <c r="K107" s="1">
        <v>808895000</v>
      </c>
      <c r="L107" s="28"/>
      <c r="M107" s="28"/>
      <c r="N107" s="28"/>
      <c r="O107" s="28"/>
      <c r="P107" s="62">
        <f>P106*(1+S107)/(S108-S107)</f>
        <v>36705627626.998909</v>
      </c>
      <c r="Q107" s="29" t="s">
        <v>146</v>
      </c>
      <c r="R107" s="51" t="s">
        <v>147</v>
      </c>
      <c r="S107" s="52">
        <v>2.5000000000000001E-2</v>
      </c>
    </row>
    <row r="108" spans="1:19" ht="19" x14ac:dyDescent="0.25">
      <c r="L108" s="62">
        <f t="shared" ref="L108:O108" si="13">L107+L106</f>
        <v>666700000</v>
      </c>
      <c r="M108" s="62">
        <f t="shared" si="13"/>
        <v>646000000</v>
      </c>
      <c r="N108" s="62">
        <f t="shared" si="13"/>
        <v>920100000</v>
      </c>
      <c r="O108" s="62">
        <f t="shared" si="13"/>
        <v>1329000000</v>
      </c>
      <c r="P108" s="62">
        <f>P107+P106</f>
        <v>38348627626.998909</v>
      </c>
      <c r="Q108" s="29" t="s">
        <v>143</v>
      </c>
      <c r="R108" s="53" t="s">
        <v>148</v>
      </c>
      <c r="S108" s="50">
        <f>S105</f>
        <v>7.0880566792468486E-2</v>
      </c>
    </row>
    <row r="109" spans="1:19" ht="19" x14ac:dyDescent="0.25">
      <c r="L109" s="64" t="s">
        <v>149</v>
      </c>
      <c r="M109" s="64"/>
    </row>
    <row r="110" spans="1:19" ht="20" x14ac:dyDescent="0.25">
      <c r="L110" s="54" t="s">
        <v>150</v>
      </c>
      <c r="M110" s="45">
        <f>NPV(S108,L108,M108,N108,O108,P108)</f>
        <v>30175478829.160114</v>
      </c>
    </row>
    <row r="111" spans="1:19" ht="20" x14ac:dyDescent="0.25">
      <c r="L111" s="54" t="s">
        <v>151</v>
      </c>
      <c r="M111" s="45">
        <f>K40</f>
        <v>1458559000</v>
      </c>
    </row>
    <row r="112" spans="1:19" ht="20" x14ac:dyDescent="0.25">
      <c r="L112" s="54" t="s">
        <v>139</v>
      </c>
      <c r="M112" s="45">
        <f>S99</f>
        <v>1314491000</v>
      </c>
    </row>
    <row r="113" spans="12:13" ht="20" x14ac:dyDescent="0.25">
      <c r="L113" s="54" t="s">
        <v>152</v>
      </c>
      <c r="M113" s="45">
        <f>M110+M111-M112</f>
        <v>30319546829.160114</v>
      </c>
    </row>
    <row r="114" spans="12:13" ht="20" x14ac:dyDescent="0.25">
      <c r="L114" s="54" t="s">
        <v>153</v>
      </c>
      <c r="M114" s="54">
        <f>K34*(1+(5*Q16))</f>
        <v>286968442.84466374</v>
      </c>
    </row>
    <row r="115" spans="12:13" ht="20" x14ac:dyDescent="0.25">
      <c r="L115" s="55" t="s">
        <v>154</v>
      </c>
      <c r="M115" s="56">
        <f>M113/M114</f>
        <v>105.65463759223209</v>
      </c>
    </row>
    <row r="116" spans="12:13" ht="20" x14ac:dyDescent="0.25">
      <c r="L116" s="54" t="s">
        <v>155</v>
      </c>
      <c r="M116" s="57" cm="1">
        <f t="array" ref="M116">_FV(A1,"Price")</f>
        <v>173.49</v>
      </c>
    </row>
    <row r="117" spans="12:13" ht="20" x14ac:dyDescent="0.25">
      <c r="L117" s="55" t="s">
        <v>156</v>
      </c>
      <c r="M117" s="58">
        <f>M115/M116-1</f>
        <v>-0.39100445217458013</v>
      </c>
    </row>
    <row r="118" spans="12:13" ht="20" x14ac:dyDescent="0.25">
      <c r="L118" s="55" t="s">
        <v>157</v>
      </c>
      <c r="M118" s="59"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 ref="Q106" r:id="rId22" xr:uid="{485760C6-4FCC-4B48-8104-51997E86EA08}"/>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2023-03-12T22:27:19Z</dcterms:created>
  <dcterms:modified xsi:type="dcterms:W3CDTF">2023-07-29T23:33:12Z</dcterms:modified>
</cp:coreProperties>
</file>