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BC59824-A4D5-6F42-BB64-6623167B344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2" i="1" l="1"/>
  <c r="G108" i="1"/>
  <c r="H108" i="1"/>
  <c r="I108" i="1"/>
  <c r="J108" i="1"/>
  <c r="H105" i="1"/>
  <c r="I105" i="1"/>
  <c r="J105" i="1"/>
  <c r="K105" i="1" s="1"/>
  <c r="G105" i="1"/>
  <c r="B105" i="1"/>
  <c r="C105" i="1"/>
  <c r="D105" i="1"/>
  <c r="E105" i="1"/>
  <c r="F105" i="1"/>
  <c r="K30" i="1"/>
  <c r="J30" i="1"/>
  <c r="I30" i="1"/>
  <c r="H30" i="1"/>
  <c r="G30" i="1"/>
  <c r="K29" i="1"/>
  <c r="J29" i="1"/>
  <c r="I29" i="1"/>
  <c r="H29" i="1"/>
  <c r="G29" i="1"/>
  <c r="K21" i="1"/>
  <c r="J21" i="1"/>
  <c r="I21" i="1"/>
  <c r="H21" i="1"/>
  <c r="G21" i="1"/>
  <c r="K20" i="1"/>
  <c r="J20" i="1"/>
  <c r="I20" i="1"/>
  <c r="H20" i="1"/>
  <c r="G20" i="1"/>
  <c r="N94" i="1"/>
  <c r="N22" i="1"/>
  <c r="N19" i="1"/>
  <c r="M19" i="1"/>
  <c r="O19" i="1" l="1"/>
  <c r="H114" i="1" l="1" a="1"/>
  <c r="H114" i="1" s="1"/>
  <c r="H116" i="1" a="1"/>
  <c r="H116" i="1" s="1"/>
  <c r="N101" i="1" a="1"/>
  <c r="N101" i="1" s="1"/>
  <c r="O16" i="1" s="1"/>
  <c r="N95" i="1" a="1"/>
  <c r="N95" i="1" s="1"/>
  <c r="N97" i="1" s="1"/>
  <c r="N86" i="1"/>
  <c r="H111" i="1"/>
  <c r="N90" i="1"/>
  <c r="N89" i="1"/>
  <c r="N91" i="1" s="1"/>
  <c r="N87" i="1"/>
  <c r="N99" i="1"/>
  <c r="N85" i="1"/>
  <c r="N88" i="1" s="1"/>
  <c r="N92" i="1" s="1"/>
  <c r="L19" i="1"/>
  <c r="L16" i="1"/>
  <c r="O13" i="1"/>
  <c r="N13" i="1"/>
  <c r="M13" i="1"/>
  <c r="L13" i="1"/>
  <c r="O10" i="1"/>
  <c r="N10" i="1"/>
  <c r="M10" i="1"/>
  <c r="L10" i="1"/>
  <c r="O7" i="1"/>
  <c r="N7" i="1"/>
  <c r="M7" i="1"/>
  <c r="L7" i="1"/>
  <c r="N4" i="1"/>
  <c r="M4" i="1"/>
  <c r="L4" i="1"/>
  <c r="K4" i="1"/>
  <c r="J4" i="1"/>
  <c r="N106" i="1" s="1"/>
  <c r="I4" i="1"/>
  <c r="H4" i="1"/>
  <c r="G4" i="1"/>
  <c r="F106" i="1"/>
  <c r="O4" i="1" s="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M16" i="1" l="1"/>
  <c r="N16" i="1"/>
  <c r="N103" i="1"/>
  <c r="N102" i="1" s="1"/>
  <c r="H112" i="1"/>
  <c r="N100" i="1" l="1"/>
  <c r="N105" i="1" s="1"/>
  <c r="N108" i="1" s="1"/>
  <c r="K107" i="1" s="1"/>
  <c r="K108" i="1" s="1"/>
  <c r="H110" i="1" l="1"/>
  <c r="H113" i="1" s="1"/>
  <c r="H115" i="1" s="1"/>
  <c r="H118" i="1" s="1"/>
  <c r="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<sst xmlns="http://schemas.openxmlformats.org/spreadsheetml/2006/main" count="275" uniqueCount="167">
  <si>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</si>
  <si>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</si>
  <si>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</si>
  <si>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</si>
  <si>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</si>
  <si>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</si>
  <si>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</si>
  <si>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</si>
  <si>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</si>
  <si>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</si>
  <si>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</si>
  <si>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</si>
  <si>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</si>
  <si>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</si>
  <si>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</si>
  <si>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</si>
  <si>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</si>
  <si>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</si>
  <si>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</si>
  <si>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</si>
  <si>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</si>
  <si>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</si>
  <si>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</si>
  <si>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</si>
  <si>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</si>
  <si>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</si>
  <si>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</si>
  <si>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</si>
  <si>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</si>
  <si>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</si>
  <si>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</si>
  <si>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</si>
  <si>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</si>
  <si>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</si>
  <si>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</si>
  <si>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</si>
  <si>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</si>
  <si>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</si>
  <si>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</si>
  <si>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</si>
  <si>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</si>
  <si>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</si>
  <si>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</si>
  <si>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</si>
  <si>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</si>
  <si>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</si>
  <si>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</si>
  <si>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</si>
  <si>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</si>
  <si>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</si>
  <si>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</si>
  <si>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</si>
  <si>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</si>
  <si>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</si>
  <si>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</si>
  <si>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</si>
  <si>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</si>
  <si>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</si>
  <si>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</si>
  <si>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</si>
  <si>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</si>
  <si>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</si>
  <si>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</si>
  <si>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</si>
  <si>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</si>
  <si>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</si>
  <si>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</si>
  <si>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</si>
  <si>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</si>
  <si>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</si>
  <si>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</si>
  <si>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</si>
  <si>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</si>
  <si>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</si>
  <si>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</si>
  <si>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</si>
  <si>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</si>
  <si>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</si>
  <si>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</si>
  <si>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</si>
  <si>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</si>
  <si>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</si>
  <si>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</si>
  <si>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</si>
  <si>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</si>
  <si>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</si>
  <si>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</si>
  <si>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</si>
  <si>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</si>
  <si>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</si>
  <si>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</si>
  <si>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</si>
  <si>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</si>
  <si>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</si>
  <si>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</si>
  <si>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</si>
  <si>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</si>
  <si>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</si>
  <si>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</si>
  <si>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</si>
  <si>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</si>
  <si>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</si>
  <si>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</si>
  <si>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</si>
  <si>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</si>
  <si>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</si>
  <si>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</si>
  <si>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</si>
  <si>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</si>
  <si>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</si>
  <si>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</si>
  <si>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</si>
  <si>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</si>
  <si>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</si>
  <si>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</si>
  <si>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</si>
  <si>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</si>
  <si>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</si>
  <si>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</si>
  <si>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</si>
  <si>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</si>
  <si>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</si>
  <si>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</si>
  <si>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</si>
  <si>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</si>
  <si>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</si>
  <si>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</si>
  <si>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</si>
  <si>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</si>
  <si>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</si>
  <si>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</si>
  <si>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</si>
  <si>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</si>
  <si>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</si>
  <si>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</si>
  <si>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</si>
  <si>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</si>
  <si>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</si>
  <si>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</si>
  <si>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</si>
  <si>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</si>
  <si>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</si>
  <si>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</si>
  <si>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</si>
  <si>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</si>
  <si>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</si>
  <si>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</si>
  <si>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</si>
  <si>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</si>
  <si>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</si>
  <si>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</si>
  <si>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</si>
  <si>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</si>
  <si>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</si>
  <si>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</si>
  <si>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</si>
  <si>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</si>
  <si>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Forward P/S</t>
  </si>
  <si>
    <t>Forward P/E</t>
  </si>
  <si>
    <t>Forward P/FCF</t>
  </si>
  <si>
    <t>Dividend Yield</t>
  </si>
  <si>
    <t>FCF Yield</t>
  </si>
  <si>
    <t>Unlevered FCF Proj</t>
  </si>
  <si>
    <t>Unlevered FCF Forecast</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</si>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</sst>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64" fontId="10" fillId="7" borderId="0" xfId="0" applyNumberFormat="1" applyFont="1" applyFill="1"/>
    <xf numFmtId="164" fontId="1"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Bill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67520908634E-2"/>
          <c:y val="0.1505766580889312"/>
          <c:w val="0.87021860872726609"/>
          <c:h val="0.697089687163197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1'!$B$3:$F$3</c:f>
              <c:numCache>
                <c:formatCode>#,###,,;\(#,###,,\);\ \-\ \-</c:formatCode>
                <c:ptCount val="5"/>
                <c:pt idx="0">
                  <c:v>64865000</c:v>
                </c:pt>
                <c:pt idx="1">
                  <c:v>108351000</c:v>
                </c:pt>
                <c:pt idx="2">
                  <c:v>157600000</c:v>
                </c:pt>
                <c:pt idx="3">
                  <c:v>238265000</c:v>
                </c:pt>
                <c:pt idx="4">
                  <c:v>641959000</c:v>
                </c:pt>
              </c:numCache>
            </c:numRef>
          </c:val>
          <c:extLst>
            <c:ext xmlns:c16="http://schemas.microsoft.com/office/drawing/2014/chart" uri="{C3380CC4-5D6E-409C-BE32-E72D297353CC}">
              <c16:uniqueId val="{00000000-E50C-E746-B6E9-5BD2015C6A4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1'!$B$28:$F$28</c:f>
              <c:numCache>
                <c:formatCode>#,###,,;\(#,###,,\);\ \-\ \-</c:formatCode>
                <c:ptCount val="5"/>
                <c:pt idx="0">
                  <c:v>-7195000</c:v>
                </c:pt>
                <c:pt idx="1">
                  <c:v>-7314000</c:v>
                </c:pt>
                <c:pt idx="2">
                  <c:v>-31091000</c:v>
                </c:pt>
                <c:pt idx="3">
                  <c:v>-98720000</c:v>
                </c:pt>
                <c:pt idx="4">
                  <c:v>-326361000</c:v>
                </c:pt>
              </c:numCache>
            </c:numRef>
          </c:val>
          <c:extLst>
            <c:ext xmlns:c16="http://schemas.microsoft.com/office/drawing/2014/chart" uri="{C3380CC4-5D6E-409C-BE32-E72D297353CC}">
              <c16:uniqueId val="{00000001-E50C-E746-B6E9-5BD2015C6A4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1'!$B$107:$F$107</c:f>
              <c:numCache>
                <c:formatCode>#,###,,;\(#,###,,\);\ \-\ \-</c:formatCode>
                <c:ptCount val="5"/>
                <c:pt idx="0">
                  <c:v>-10402000</c:v>
                </c:pt>
                <c:pt idx="1">
                  <c:v>-8248000</c:v>
                </c:pt>
                <c:pt idx="2">
                  <c:v>-16506000</c:v>
                </c:pt>
                <c:pt idx="3">
                  <c:v>-16583000</c:v>
                </c:pt>
                <c:pt idx="4">
                  <c:v>-21104000</c:v>
                </c:pt>
              </c:numCache>
            </c:numRef>
          </c:val>
          <c:extLst>
            <c:ext xmlns:c16="http://schemas.microsoft.com/office/drawing/2014/chart" uri="{C3380CC4-5D6E-409C-BE32-E72D297353CC}">
              <c16:uniqueId val="{00000002-E50C-E746-B6E9-5BD2015C6A4D}"/>
            </c:ext>
          </c:extLst>
        </c:ser>
        <c:dLbls>
          <c:showLegendKey val="0"/>
          <c:showVal val="0"/>
          <c:showCatName val="0"/>
          <c:showSerName val="0"/>
          <c:showPercent val="0"/>
          <c:showBubbleSize val="0"/>
        </c:dLbls>
        <c:gapWidth val="100"/>
        <c:overlap val="-24"/>
        <c:axId val="401777696"/>
        <c:axId val="397237152"/>
      </c:barChart>
      <c:catAx>
        <c:axId val="4017776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97237152"/>
        <c:crosses val="autoZero"/>
        <c:auto val="1"/>
        <c:lblAlgn val="ctr"/>
        <c:lblOffset val="100"/>
        <c:noMultiLvlLbl val="0"/>
      </c:catAx>
      <c:valAx>
        <c:axId val="39723715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01777696"/>
        <c:crosses val="autoZero"/>
        <c:crossBetween val="between"/>
      </c:valAx>
      <c:spPr>
        <a:noFill/>
        <a:ln>
          <a:noFill/>
        </a:ln>
        <a:effectLst/>
      </c:spPr>
    </c:plotArea>
    <c:legend>
      <c:legendPos val="b"/>
      <c:layout>
        <c:manualLayout>
          <c:xMode val="edge"/>
          <c:yMode val="edge"/>
          <c:x val="0.34285004506960992"/>
          <c:y val="0.88851164704787278"/>
          <c:w val="0.31429980556919168"/>
          <c:h val="6.261474294573658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17462</xdr:rowOff>
    </xdr:from>
    <xdr:to>
      <xdr:col>14</xdr:col>
      <xdr:colOff>0</xdr:colOff>
      <xdr:row>126</xdr:row>
      <xdr:rowOff>0</xdr:rowOff>
    </xdr:to>
    <xdr:graphicFrame macro="">
      <xdr:nvGraphicFramePr>
        <xdr:cNvPr id="3" name="Chart 2">
          <a:extLst>
            <a:ext uri="{FF2B5EF4-FFF2-40B4-BE49-F238E27FC236}">
              <a16:creationId xmlns:a16="http://schemas.microsoft.com/office/drawing/2014/main" id="{C24A134D-ED31-4291-6108-9F519BDA37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179.85</v>
    <v>68.3</v>
    <v>1.9392</v>
    <v>3.87</v>
    <v>3.3696000000000004E-2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119.58</v>
    <v>Software &amp; IT Services</v>
    <v>Stock</v>
    <v>45105.998586399997</v>
    <v>0</v>
    <v>113.7</v>
    <v>12616398144</v>
    <v>BILL HOLDINGS, INC.</v>
    <v>BILL HOLDINGS, INC.</v>
    <v>113.78</v>
    <v>0</v>
    <v>114.85</v>
    <v>118.72</v>
    <v>106270200</v>
    <v>BILL</v>
    <v>BILL HOLDINGS, INC. (XNYS:BILL)</v>
    <v>1</v>
    <v>1687939</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86352/000156459021046383/0001564590-21-046383-index.htm" TargetMode="External"/><Relationship Id="rId13" Type="http://schemas.openxmlformats.org/officeDocument/2006/relationships/hyperlink" Target="https://finbox.com/NYSE:BILL/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86352/000156459020041865/0001564590-20-041865-index.htm" TargetMode="External"/><Relationship Id="rId12" Type="http://schemas.openxmlformats.org/officeDocument/2006/relationships/hyperlink" Target="https://finbox.com/NYSE:BILL/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BILL" TargetMode="External"/><Relationship Id="rId6" Type="http://schemas.openxmlformats.org/officeDocument/2006/relationships/hyperlink" Target="https://www.sec.gov/Archives/edgar/data/1786352/000156459020041865/0001564590-20-041865-index.htm" TargetMode="External"/><Relationship Id="rId11" Type="http://schemas.openxmlformats.org/officeDocument/2006/relationships/hyperlink" Target="https://www.sec.gov/Archives/edgar/data/1786352/000178635222000017/0001786352-22-000017-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86352/000178635222000017/0001786352-22-00001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86352/000156459021046383/0001564590-21-046383-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71" activePane="bottomRight" state="frozen"/>
      <selection pane="topRight"/>
      <selection pane="bottomLeft"/>
      <selection pane="bottomRight" activeCell="I88" sqref="I88"/>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64865000</v>
      </c>
      <c r="C3" s="1">
        <v>108351000</v>
      </c>
      <c r="D3" s="1">
        <v>157600000</v>
      </c>
      <c r="E3" s="1">
        <v>238265000</v>
      </c>
      <c r="F3" s="1">
        <v>641959000</v>
      </c>
      <c r="G3" s="25">
        <v>1042000000</v>
      </c>
      <c r="H3" s="25">
        <v>1297000000</v>
      </c>
      <c r="I3" s="25">
        <v>1656000000</v>
      </c>
      <c r="J3" s="25">
        <v>2105000000</v>
      </c>
      <c r="K3" s="25">
        <v>2356000000</v>
      </c>
      <c r="L3" s="19" t="s">
        <v>107</v>
      </c>
      <c r="M3" s="20" t="s">
        <v>108</v>
      </c>
      <c r="N3" s="20" t="s">
        <v>109</v>
      </c>
      <c r="O3" s="20" t="s">
        <v>110</v>
      </c>
    </row>
    <row r="4" spans="1:38" ht="19" x14ac:dyDescent="0.25">
      <c r="A4" s="14" t="s">
        <v>93</v>
      </c>
      <c r="B4" s="1"/>
      <c r="C4" s="15">
        <f>(C3/B3)-1</f>
        <v>0.67040776998381246</v>
      </c>
      <c r="D4" s="15">
        <f>(D3/C3)-1</f>
        <v>0.45453203016123522</v>
      </c>
      <c r="E4" s="15">
        <f>(E3/D3)-1</f>
        <v>0.51183375634517758</v>
      </c>
      <c r="F4" s="15">
        <f t="shared" ref="F4:K4" si="0">(F3/E3)-1</f>
        <v>1.6943067592806331</v>
      </c>
      <c r="G4" s="16">
        <f t="shared" si="0"/>
        <v>0.62315661903641817</v>
      </c>
      <c r="H4" s="16">
        <f t="shared" si="0"/>
        <v>0.24472168905950098</v>
      </c>
      <c r="I4" s="16">
        <f t="shared" si="0"/>
        <v>0.276792598303778</v>
      </c>
      <c r="J4" s="16">
        <f t="shared" si="0"/>
        <v>0.27113526570048307</v>
      </c>
      <c r="K4" s="16">
        <f t="shared" si="0"/>
        <v>0.11923990498812342</v>
      </c>
      <c r="L4" s="17">
        <f>(F4+E4+D4)/3</f>
        <v>0.88689084859568201</v>
      </c>
      <c r="M4" s="17">
        <f>(F20+E20+D20)/3</f>
        <v>3.6116415809611002</v>
      </c>
      <c r="N4" s="17">
        <f>(F29+E29+D29)/3</f>
        <v>2.5773366505490083</v>
      </c>
      <c r="O4" s="17">
        <f>(F106+E106+D106)/3</f>
        <v>0.42616866033147516</v>
      </c>
      <c r="S4" s="16"/>
      <c r="T4" s="16"/>
      <c r="U4" s="16"/>
      <c r="V4" s="16"/>
      <c r="W4" s="16"/>
      <c r="X4" s="16"/>
      <c r="Y4" s="16"/>
      <c r="Z4" s="16"/>
      <c r="AA4" s="16"/>
      <c r="AB4" s="16"/>
      <c r="AC4" s="16"/>
      <c r="AD4" s="16"/>
      <c r="AE4" s="16"/>
      <c r="AF4" s="16"/>
      <c r="AI4" s="18"/>
      <c r="AJ4" s="18"/>
      <c r="AK4" s="18"/>
      <c r="AL4" s="18"/>
    </row>
    <row r="5" spans="1:38" ht="19" x14ac:dyDescent="0.25">
      <c r="A5" s="5" t="s">
        <v>2</v>
      </c>
      <c r="B5" s="1">
        <v>19372000</v>
      </c>
      <c r="C5" s="1">
        <v>29918000</v>
      </c>
      <c r="D5" s="1">
        <v>39144000</v>
      </c>
      <c r="E5" s="1">
        <v>61806000</v>
      </c>
      <c r="F5" s="1">
        <v>145004000</v>
      </c>
    </row>
    <row r="6" spans="1:38" ht="20" x14ac:dyDescent="0.25">
      <c r="A6" s="6" t="s">
        <v>3</v>
      </c>
      <c r="B6" s="10">
        <v>45493000</v>
      </c>
      <c r="C6" s="10">
        <v>78433000</v>
      </c>
      <c r="D6" s="10">
        <v>118456000</v>
      </c>
      <c r="E6" s="10">
        <v>176459000</v>
      </c>
      <c r="F6" s="10">
        <v>496955000</v>
      </c>
      <c r="L6" s="19" t="s">
        <v>111</v>
      </c>
      <c r="M6" s="20" t="s">
        <v>112</v>
      </c>
      <c r="N6" s="20" t="s">
        <v>113</v>
      </c>
      <c r="O6" s="20" t="s">
        <v>114</v>
      </c>
    </row>
    <row r="7" spans="1:38" ht="19" x14ac:dyDescent="0.25">
      <c r="A7" s="5" t="s">
        <v>4</v>
      </c>
      <c r="B7" s="2">
        <v>0.70130000000000003</v>
      </c>
      <c r="C7" s="2">
        <v>0.72389999999999999</v>
      </c>
      <c r="D7" s="2">
        <v>0.75160000000000005</v>
      </c>
      <c r="E7" s="2">
        <v>0.74060000000000004</v>
      </c>
      <c r="F7" s="2">
        <v>0.77410000000000001</v>
      </c>
      <c r="L7" s="17">
        <f>F7</f>
        <v>0.77410000000000001</v>
      </c>
      <c r="M7" s="21">
        <f>F21</f>
        <v>-0.38329999999999997</v>
      </c>
      <c r="N7" s="21">
        <f>F30</f>
        <v>-0.50839999999999996</v>
      </c>
      <c r="O7" s="21">
        <f>F107/F3</f>
        <v>-3.2874373597067727E-2</v>
      </c>
    </row>
    <row r="8" spans="1:38" ht="19" x14ac:dyDescent="0.25">
      <c r="A8" s="5" t="s">
        <v>5</v>
      </c>
      <c r="B8" s="1">
        <v>17986000</v>
      </c>
      <c r="C8" s="1">
        <v>28924000</v>
      </c>
      <c r="D8" s="1">
        <v>53405000</v>
      </c>
      <c r="E8" s="1">
        <v>90235000</v>
      </c>
      <c r="F8" s="1">
        <v>219818000</v>
      </c>
    </row>
    <row r="9" spans="1:38" ht="19" customHeight="1" x14ac:dyDescent="0.25">
      <c r="A9" s="14" t="s">
        <v>94</v>
      </c>
      <c r="B9" s="15">
        <f>B8/B3</f>
        <v>0.27728358899252292</v>
      </c>
      <c r="C9" s="15">
        <f t="shared" ref="C9:F9" si="1">C8/C3</f>
        <v>0.26694723629685008</v>
      </c>
      <c r="D9" s="15">
        <f t="shared" si="1"/>
        <v>0.33886421319796955</v>
      </c>
      <c r="E9" s="15">
        <f t="shared" si="1"/>
        <v>0.37871697479696975</v>
      </c>
      <c r="F9" s="15">
        <f t="shared" si="1"/>
        <v>0.34241750641396101</v>
      </c>
      <c r="G9" s="15"/>
      <c r="H9" s="15"/>
      <c r="L9" s="19" t="s">
        <v>95</v>
      </c>
      <c r="M9" s="20" t="s">
        <v>96</v>
      </c>
      <c r="N9" s="20" t="s">
        <v>97</v>
      </c>
      <c r="O9" s="20" t="s">
        <v>98</v>
      </c>
    </row>
    <row r="10" spans="1:38" ht="19" x14ac:dyDescent="0.25">
      <c r="A10" s="5" t="s">
        <v>6</v>
      </c>
      <c r="B10" s="1">
        <v>16034000</v>
      </c>
      <c r="C10" s="1">
        <v>29198000</v>
      </c>
      <c r="D10" s="1">
        <v>53893000</v>
      </c>
      <c r="E10" s="1">
        <v>128817000</v>
      </c>
      <c r="F10" s="1">
        <v>241174000</v>
      </c>
      <c r="L10" s="17">
        <f>F9</f>
        <v>0.34241750641396101</v>
      </c>
      <c r="M10" s="21">
        <f>F13</f>
        <v>0.85414333314121305</v>
      </c>
      <c r="N10" s="21">
        <f>F80</f>
        <v>0.30711774427961908</v>
      </c>
      <c r="O10" s="21">
        <f>F89</f>
        <v>8.3759243191543382E-3</v>
      </c>
    </row>
    <row r="11" spans="1:38" ht="19" x14ac:dyDescent="0.25">
      <c r="A11" s="5" t="s">
        <v>7</v>
      </c>
      <c r="B11" s="1">
        <v>19290000</v>
      </c>
      <c r="C11" s="1">
        <v>30114000</v>
      </c>
      <c r="D11" s="1">
        <v>45356000</v>
      </c>
      <c r="E11" s="1">
        <v>71374000</v>
      </c>
      <c r="F11" s="1">
        <v>307151000</v>
      </c>
    </row>
    <row r="12" spans="1:38" ht="20" x14ac:dyDescent="0.25">
      <c r="A12" s="5" t="s">
        <v>8</v>
      </c>
      <c r="B12" s="1">
        <v>35324000</v>
      </c>
      <c r="C12" s="1">
        <v>59312000</v>
      </c>
      <c r="D12" s="1">
        <v>99249000</v>
      </c>
      <c r="E12" s="1">
        <v>200191000</v>
      </c>
      <c r="F12" s="1">
        <v>548325000</v>
      </c>
      <c r="L12" s="19" t="s">
        <v>115</v>
      </c>
      <c r="M12" s="20" t="s">
        <v>116</v>
      </c>
      <c r="N12" s="20" t="s">
        <v>117</v>
      </c>
      <c r="O12" s="20" t="s">
        <v>118</v>
      </c>
    </row>
    <row r="13" spans="1:38" ht="19" x14ac:dyDescent="0.25">
      <c r="A13" s="14" t="s">
        <v>99</v>
      </c>
      <c r="B13" s="15">
        <f>B12/B3</f>
        <v>0.54457719879750255</v>
      </c>
      <c r="C13" s="15">
        <f t="shared" ref="C13:F13" si="2">C12/C3</f>
        <v>0.54740611531042627</v>
      </c>
      <c r="D13" s="15">
        <f t="shared" si="2"/>
        <v>0.62975253807106601</v>
      </c>
      <c r="E13" s="15">
        <f t="shared" si="2"/>
        <v>0.84020313516462763</v>
      </c>
      <c r="F13" s="15">
        <f t="shared" si="2"/>
        <v>0.85414333314121305</v>
      </c>
      <c r="G13" s="15"/>
      <c r="H13" s="15"/>
      <c r="L13" s="17">
        <f>F28/F72</f>
        <v>-8.070862928797283E-2</v>
      </c>
      <c r="M13" s="21">
        <f>F28/F54</f>
        <v>-3.5259300265578337E-2</v>
      </c>
      <c r="N13" s="21">
        <f>F22/(F72+F56+F61)</f>
        <v>-5.4394893763433774E-2</v>
      </c>
      <c r="O13" s="22">
        <f>F67/F72</f>
        <v>1.2890025803139407</v>
      </c>
    </row>
    <row r="14" spans="1:38" ht="19" x14ac:dyDescent="0.25">
      <c r="A14" s="5" t="s">
        <v>9</v>
      </c>
      <c r="B14" s="1" t="s">
        <v>91</v>
      </c>
      <c r="C14" s="1" t="s">
        <v>91</v>
      </c>
      <c r="D14" s="1" t="s">
        <v>91</v>
      </c>
      <c r="E14" s="1" t="s">
        <v>91</v>
      </c>
      <c r="F14" s="1">
        <v>45630000</v>
      </c>
    </row>
    <row r="15" spans="1:38" ht="20" x14ac:dyDescent="0.25">
      <c r="A15" s="5" t="s">
        <v>10</v>
      </c>
      <c r="B15" s="1">
        <v>53310000</v>
      </c>
      <c r="C15" s="1">
        <v>88236000</v>
      </c>
      <c r="D15" s="1">
        <v>152654000</v>
      </c>
      <c r="E15" s="1">
        <v>290426000</v>
      </c>
      <c r="F15" s="1">
        <v>813773000</v>
      </c>
      <c r="L15" s="19" t="s">
        <v>119</v>
      </c>
      <c r="M15" s="20" t="s">
        <v>120</v>
      </c>
      <c r="N15" s="20" t="s">
        <v>121</v>
      </c>
      <c r="O15" s="20" t="s">
        <v>122</v>
      </c>
    </row>
    <row r="16" spans="1:38" ht="19" x14ac:dyDescent="0.25">
      <c r="A16" s="5" t="s">
        <v>11</v>
      </c>
      <c r="B16" s="1">
        <v>72682000</v>
      </c>
      <c r="C16" s="1">
        <v>118154000</v>
      </c>
      <c r="D16" s="1">
        <v>191798000</v>
      </c>
      <c r="E16" s="1">
        <v>352232000</v>
      </c>
      <c r="F16" s="1">
        <v>958777000</v>
      </c>
      <c r="L16" s="26">
        <f>(F35+E35+D35+C35+B35)/5</f>
        <v>0.16430020288267783</v>
      </c>
      <c r="M16" s="54">
        <f>N101/F3</f>
        <v>19.652965600606894</v>
      </c>
      <c r="N16" s="54">
        <f>N101/F28</f>
        <v>-38.65779962679364</v>
      </c>
      <c r="O16" s="55">
        <f>N101/F107</f>
        <v>-597.8202304776346</v>
      </c>
    </row>
    <row r="17" spans="1:15" ht="19" x14ac:dyDescent="0.25">
      <c r="A17" s="5" t="s">
        <v>12</v>
      </c>
      <c r="B17" s="1">
        <v>427000</v>
      </c>
      <c r="C17" s="1">
        <v>825000</v>
      </c>
      <c r="D17" s="1">
        <v>229000</v>
      </c>
      <c r="E17" s="1">
        <v>28158000</v>
      </c>
      <c r="F17" s="1">
        <v>28158000</v>
      </c>
    </row>
    <row r="18" spans="1:15" ht="20" x14ac:dyDescent="0.25">
      <c r="A18" s="5" t="s">
        <v>13</v>
      </c>
      <c r="B18" s="1">
        <v>2314000</v>
      </c>
      <c r="C18" s="1">
        <v>3154000</v>
      </c>
      <c r="D18" s="1">
        <v>4257000</v>
      </c>
      <c r="E18" s="1">
        <v>11009000</v>
      </c>
      <c r="F18" s="1">
        <v>75977000</v>
      </c>
      <c r="L18" s="19" t="s">
        <v>123</v>
      </c>
      <c r="M18" s="20" t="s">
        <v>157</v>
      </c>
      <c r="N18" s="20" t="s">
        <v>158</v>
      </c>
      <c r="O18" s="20" t="s">
        <v>159</v>
      </c>
    </row>
    <row r="19" spans="1:15" ht="19" x14ac:dyDescent="0.25">
      <c r="A19" s="6" t="s">
        <v>14</v>
      </c>
      <c r="B19" s="10">
        <v>-4444000</v>
      </c>
      <c r="C19" s="10">
        <v>-3491000</v>
      </c>
      <c r="D19" s="10">
        <v>-26552000</v>
      </c>
      <c r="E19" s="10">
        <v>-100170000</v>
      </c>
      <c r="F19" s="10">
        <v>-246066000</v>
      </c>
      <c r="G19" s="58">
        <v>110100000</v>
      </c>
      <c r="H19" s="58">
        <v>167000000</v>
      </c>
      <c r="I19" s="58">
        <v>229000000</v>
      </c>
      <c r="J19" s="58">
        <v>443000000</v>
      </c>
      <c r="K19" s="58">
        <v>589000000</v>
      </c>
      <c r="L19" s="27">
        <f>F40-F56-F61</f>
        <v>924322000</v>
      </c>
      <c r="M19" s="54">
        <f>N101/G3</f>
        <v>12.107867700575817</v>
      </c>
      <c r="N19" s="54">
        <f>N101/G28</f>
        <v>72.927156901734108</v>
      </c>
      <c r="O19" s="55">
        <f>N101/G105</f>
        <v>-67.199340851951135</v>
      </c>
    </row>
    <row r="20" spans="1:15" ht="19" customHeight="1" x14ac:dyDescent="0.25">
      <c r="A20" s="14" t="s">
        <v>100</v>
      </c>
      <c r="B20" s="1"/>
      <c r="C20" s="15">
        <f>(C19/B19)-1</f>
        <v>-0.2144464446444645</v>
      </c>
      <c r="D20" s="15">
        <f>(D19/C19)-1</f>
        <v>6.6058435978229735</v>
      </c>
      <c r="E20" s="15">
        <f>(E19/D19)-1</f>
        <v>2.7725971678216332</v>
      </c>
      <c r="F20" s="15">
        <f t="shared" ref="F20:K20" si="3">(F19/E19)-1</f>
        <v>1.4564839772386944</v>
      </c>
      <c r="G20" s="16">
        <f t="shared" si="3"/>
        <v>-1.4474409304820659</v>
      </c>
      <c r="H20" s="16">
        <f t="shared" si="3"/>
        <v>0.51680290644868299</v>
      </c>
      <c r="I20" s="16">
        <f t="shared" si="3"/>
        <v>0.37125748502994016</v>
      </c>
      <c r="J20" s="16">
        <f t="shared" si="3"/>
        <v>0.93449781659388642</v>
      </c>
      <c r="K20" s="16">
        <f t="shared" si="3"/>
        <v>0.32957110609480811</v>
      </c>
    </row>
    <row r="21" spans="1:15" ht="20" x14ac:dyDescent="0.25">
      <c r="A21" s="5" t="s">
        <v>15</v>
      </c>
      <c r="B21" s="2">
        <v>-6.8500000000000005E-2</v>
      </c>
      <c r="C21" s="2">
        <v>-3.2199999999999999E-2</v>
      </c>
      <c r="D21" s="2">
        <v>-0.16850000000000001</v>
      </c>
      <c r="E21" s="2">
        <v>-0.4204</v>
      </c>
      <c r="F21" s="2">
        <v>-0.38329999999999997</v>
      </c>
      <c r="G21" s="59">
        <f>G19/G3</f>
        <v>0.10566218809980805</v>
      </c>
      <c r="H21" s="59">
        <f t="shared" ref="H21:K21" si="4">H19/H3</f>
        <v>0.12875867386276021</v>
      </c>
      <c r="I21" s="59">
        <f t="shared" si="4"/>
        <v>0.13828502415458938</v>
      </c>
      <c r="J21" s="59">
        <f t="shared" si="4"/>
        <v>0.21045130641330168</v>
      </c>
      <c r="K21" s="59">
        <f t="shared" si="4"/>
        <v>0.25</v>
      </c>
      <c r="N21" s="19" t="s">
        <v>160</v>
      </c>
      <c r="O21" s="20" t="s">
        <v>161</v>
      </c>
    </row>
    <row r="22" spans="1:15" ht="19" x14ac:dyDescent="0.25">
      <c r="A22" s="6" t="s">
        <v>16</v>
      </c>
      <c r="B22" s="10">
        <v>-7817000</v>
      </c>
      <c r="C22" s="10">
        <v>-9803000</v>
      </c>
      <c r="D22" s="10">
        <v>-34198000</v>
      </c>
      <c r="E22" s="10">
        <v>-113967000</v>
      </c>
      <c r="F22" s="10">
        <v>-316818000</v>
      </c>
      <c r="N22" s="56">
        <f>(-1*F98)/N101</f>
        <v>0</v>
      </c>
      <c r="O22" s="57">
        <f>F107/N101</f>
        <v>-1.6727436594125291E-3</v>
      </c>
    </row>
    <row r="23" spans="1:15" ht="19" x14ac:dyDescent="0.25">
      <c r="A23" s="5" t="s">
        <v>17</v>
      </c>
      <c r="B23" s="2">
        <v>-0.1205</v>
      </c>
      <c r="C23" s="2">
        <v>-9.0499999999999997E-2</v>
      </c>
      <c r="D23" s="2">
        <v>-0.217</v>
      </c>
      <c r="E23" s="2">
        <v>-0.4783</v>
      </c>
      <c r="F23" s="2">
        <v>-0.49349999999999999</v>
      </c>
    </row>
    <row r="24" spans="1:15" ht="19" x14ac:dyDescent="0.25">
      <c r="A24" s="5" t="s">
        <v>18</v>
      </c>
      <c r="B24" s="1">
        <v>632000</v>
      </c>
      <c r="C24" s="1">
        <v>2333000</v>
      </c>
      <c r="D24" s="1">
        <v>3160000</v>
      </c>
      <c r="E24" s="1">
        <v>-25370000</v>
      </c>
      <c r="F24" s="1">
        <v>-13861000</v>
      </c>
    </row>
    <row r="25" spans="1:15" ht="19" x14ac:dyDescent="0.25">
      <c r="A25" s="6" t="s">
        <v>19</v>
      </c>
      <c r="B25" s="10">
        <v>-7185000</v>
      </c>
      <c r="C25" s="10">
        <v>-7470000</v>
      </c>
      <c r="D25" s="10">
        <v>-31038000</v>
      </c>
      <c r="E25" s="10">
        <v>-139337000</v>
      </c>
      <c r="F25" s="10">
        <v>-330679000</v>
      </c>
    </row>
    <row r="26" spans="1:15" ht="19" x14ac:dyDescent="0.25">
      <c r="A26" s="5" t="s">
        <v>20</v>
      </c>
      <c r="B26" s="2">
        <v>-0.1108</v>
      </c>
      <c r="C26" s="2">
        <v>-6.8900000000000003E-2</v>
      </c>
      <c r="D26" s="2">
        <v>-0.19689999999999999</v>
      </c>
      <c r="E26" s="2">
        <v>-0.58479999999999999</v>
      </c>
      <c r="F26" s="2">
        <v>-0.5151</v>
      </c>
    </row>
    <row r="27" spans="1:15" ht="19" x14ac:dyDescent="0.25">
      <c r="A27" s="5" t="s">
        <v>21</v>
      </c>
      <c r="B27" s="1">
        <v>10000</v>
      </c>
      <c r="C27" s="1">
        <v>-156000</v>
      </c>
      <c r="D27" s="1">
        <v>53000</v>
      </c>
      <c r="E27" s="1">
        <v>-40617000</v>
      </c>
      <c r="F27" s="1">
        <v>4318000</v>
      </c>
    </row>
    <row r="28" spans="1:15" ht="20" thickBot="1" x14ac:dyDescent="0.3">
      <c r="A28" s="7" t="s">
        <v>22</v>
      </c>
      <c r="B28" s="11">
        <v>-7195000</v>
      </c>
      <c r="C28" s="11">
        <v>-7314000</v>
      </c>
      <c r="D28" s="11">
        <v>-31091000</v>
      </c>
      <c r="E28" s="11">
        <v>-98720000</v>
      </c>
      <c r="F28" s="11">
        <v>-326361000</v>
      </c>
      <c r="G28" s="60">
        <v>173000000</v>
      </c>
      <c r="H28" s="60">
        <v>216000000</v>
      </c>
      <c r="I28" s="60">
        <v>284000000</v>
      </c>
      <c r="J28" s="60">
        <v>367000000</v>
      </c>
      <c r="K28" s="60">
        <v>386000000</v>
      </c>
    </row>
    <row r="29" spans="1:15" ht="20" customHeight="1" thickTop="1" x14ac:dyDescent="0.25">
      <c r="A29" s="14" t="s">
        <v>101</v>
      </c>
      <c r="B29" s="1"/>
      <c r="C29" s="15">
        <f>(C28/B28)-1</f>
        <v>1.6539263377345348E-2</v>
      </c>
      <c r="D29" s="15">
        <f>(D28/C28)-1</f>
        <v>3.2508887065901009</v>
      </c>
      <c r="E29" s="15">
        <f>(E28/D28)-1</f>
        <v>2.175195394165514</v>
      </c>
      <c r="F29" s="15">
        <f t="shared" ref="F29:K29" si="5">(F28/E28)-1</f>
        <v>2.30592585089141</v>
      </c>
      <c r="G29" s="16">
        <f t="shared" si="5"/>
        <v>-1.5300878475062891</v>
      </c>
      <c r="H29" s="16">
        <f t="shared" si="5"/>
        <v>0.24855491329479773</v>
      </c>
      <c r="I29" s="16">
        <f t="shared" si="5"/>
        <v>0.31481481481481488</v>
      </c>
      <c r="J29" s="16">
        <f t="shared" si="5"/>
        <v>0.29225352112676051</v>
      </c>
      <c r="K29" s="16">
        <f t="shared" si="5"/>
        <v>5.1771117166212521E-2</v>
      </c>
    </row>
    <row r="30" spans="1:15" ht="19" x14ac:dyDescent="0.25">
      <c r="A30" s="5" t="s">
        <v>23</v>
      </c>
      <c r="B30" s="2">
        <v>-0.1109</v>
      </c>
      <c r="C30" s="2">
        <v>-6.7500000000000004E-2</v>
      </c>
      <c r="D30" s="2">
        <v>-0.1973</v>
      </c>
      <c r="E30" s="2">
        <v>-0.4143</v>
      </c>
      <c r="F30" s="2">
        <v>-0.50839999999999996</v>
      </c>
      <c r="G30" s="61">
        <f>G28/G3</f>
        <v>0.16602687140115163</v>
      </c>
      <c r="H30" s="61">
        <f t="shared" ref="H30:K30" si="6">H28/H3</f>
        <v>0.16653816499614496</v>
      </c>
      <c r="I30" s="61">
        <f t="shared" si="6"/>
        <v>0.17149758454106281</v>
      </c>
      <c r="J30" s="61">
        <f t="shared" si="6"/>
        <v>0.17434679334916864</v>
      </c>
      <c r="K30" s="61">
        <f t="shared" si="6"/>
        <v>0.16383701188455008</v>
      </c>
    </row>
    <row r="31" spans="1:15" ht="19" x14ac:dyDescent="0.25">
      <c r="A31" s="5" t="s">
        <v>24</v>
      </c>
      <c r="B31" s="12">
        <v>-0.12</v>
      </c>
      <c r="C31" s="12">
        <v>-0.13</v>
      </c>
      <c r="D31" s="12">
        <v>-0.7</v>
      </c>
      <c r="E31" s="12">
        <v>-1.19</v>
      </c>
      <c r="F31" s="12">
        <v>-3.21</v>
      </c>
      <c r="G31" s="62">
        <v>1.63</v>
      </c>
      <c r="H31" s="62">
        <v>2.0299999999999998</v>
      </c>
      <c r="I31" s="62">
        <v>2.67</v>
      </c>
      <c r="J31" s="62">
        <v>3.45</v>
      </c>
      <c r="K31" s="62">
        <v>3.63</v>
      </c>
    </row>
    <row r="32" spans="1:15" ht="19" x14ac:dyDescent="0.25">
      <c r="A32" s="5" t="s">
        <v>25</v>
      </c>
      <c r="B32" s="12">
        <v>-0.12</v>
      </c>
      <c r="C32" s="12">
        <v>-0.13</v>
      </c>
      <c r="D32" s="12">
        <v>-0.7</v>
      </c>
      <c r="E32" s="12">
        <v>-1.19</v>
      </c>
      <c r="F32" s="12">
        <v>-3.21</v>
      </c>
    </row>
    <row r="33" spans="1:6" ht="19" x14ac:dyDescent="0.25">
      <c r="A33" s="5" t="s">
        <v>26</v>
      </c>
      <c r="B33" s="1">
        <v>60665000</v>
      </c>
      <c r="C33" s="1">
        <v>57599000</v>
      </c>
      <c r="D33" s="1">
        <v>44106000</v>
      </c>
      <c r="E33" s="1">
        <v>82813000</v>
      </c>
      <c r="F33" s="1">
        <v>101753000</v>
      </c>
    </row>
    <row r="34" spans="1:6" ht="19" x14ac:dyDescent="0.25">
      <c r="A34" s="5" t="s">
        <v>27</v>
      </c>
      <c r="B34" s="1">
        <v>60665000</v>
      </c>
      <c r="C34" s="1">
        <v>57599000</v>
      </c>
      <c r="D34" s="1">
        <v>44106000</v>
      </c>
      <c r="E34" s="1">
        <v>82813000</v>
      </c>
      <c r="F34" s="1">
        <v>101753000</v>
      </c>
    </row>
    <row r="35" spans="1:6" ht="20" customHeight="1" x14ac:dyDescent="0.25">
      <c r="A35" s="14" t="s">
        <v>102</v>
      </c>
      <c r="B35" s="1"/>
      <c r="C35" s="23">
        <f>(C34-B34)/B34</f>
        <v>-5.0539849995879009E-2</v>
      </c>
      <c r="D35" s="23">
        <f t="shared" ref="D35:F35" si="7">(D34-C34)/C34</f>
        <v>-0.23425753919338876</v>
      </c>
      <c r="E35" s="23">
        <f t="shared" si="7"/>
        <v>0.87759035051920375</v>
      </c>
      <c r="F35" s="23">
        <f t="shared" si="7"/>
        <v>0.22870805308345307</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22401000</v>
      </c>
      <c r="C38" s="1">
        <v>90306000</v>
      </c>
      <c r="D38" s="1">
        <v>573643000</v>
      </c>
      <c r="E38" s="1">
        <v>509615000</v>
      </c>
      <c r="F38" s="1">
        <v>1596542000</v>
      </c>
    </row>
    <row r="39" spans="1:6" ht="19" x14ac:dyDescent="0.25">
      <c r="A39" s="5" t="s">
        <v>31</v>
      </c>
      <c r="B39" s="1">
        <v>69867000</v>
      </c>
      <c r="C39" s="1">
        <v>71969000</v>
      </c>
      <c r="D39" s="1">
        <v>123974000</v>
      </c>
      <c r="E39" s="1">
        <v>655314000</v>
      </c>
      <c r="F39" s="1">
        <v>1108493000</v>
      </c>
    </row>
    <row r="40" spans="1:6" ht="19" x14ac:dyDescent="0.25">
      <c r="A40" s="5" t="s">
        <v>32</v>
      </c>
      <c r="B40" s="1">
        <v>92268000</v>
      </c>
      <c r="C40" s="1">
        <v>162275000</v>
      </c>
      <c r="D40" s="1">
        <v>697617000</v>
      </c>
      <c r="E40" s="1">
        <v>1164929000</v>
      </c>
      <c r="F40" s="1">
        <v>2705035000</v>
      </c>
    </row>
    <row r="41" spans="1:6" ht="19" x14ac:dyDescent="0.25">
      <c r="A41" s="5" t="s">
        <v>33</v>
      </c>
      <c r="B41" s="1">
        <v>5347000</v>
      </c>
      <c r="C41" s="1">
        <v>9193000</v>
      </c>
      <c r="D41" s="1">
        <v>10801000</v>
      </c>
      <c r="E41" s="1">
        <v>173433000</v>
      </c>
      <c r="F41" s="1">
        <v>24045000</v>
      </c>
    </row>
    <row r="42" spans="1:6" ht="19" x14ac:dyDescent="0.25">
      <c r="A42" s="5" t="s">
        <v>34</v>
      </c>
      <c r="B42" s="1" t="s">
        <v>91</v>
      </c>
      <c r="C42" s="1" t="s">
        <v>91</v>
      </c>
      <c r="D42" s="1" t="s">
        <v>91</v>
      </c>
      <c r="E42" s="1" t="s">
        <v>91</v>
      </c>
      <c r="F42" s="1" t="s">
        <v>91</v>
      </c>
    </row>
    <row r="43" spans="1:6" ht="19" x14ac:dyDescent="0.25">
      <c r="A43" s="5" t="s">
        <v>35</v>
      </c>
      <c r="B43" s="1">
        <v>921094000</v>
      </c>
      <c r="C43" s="1">
        <v>1341632000</v>
      </c>
      <c r="D43" s="1">
        <v>1671031000</v>
      </c>
      <c r="E43" s="1">
        <v>2267675000</v>
      </c>
      <c r="F43" s="1">
        <v>3550310000</v>
      </c>
    </row>
    <row r="44" spans="1:6" ht="19" x14ac:dyDescent="0.25">
      <c r="A44" s="6" t="s">
        <v>36</v>
      </c>
      <c r="B44" s="10">
        <v>1018709000</v>
      </c>
      <c r="C44" s="10">
        <v>1513100000</v>
      </c>
      <c r="D44" s="10">
        <v>2379449000</v>
      </c>
      <c r="E44" s="10">
        <v>3606037000</v>
      </c>
      <c r="F44" s="10">
        <v>6279390000</v>
      </c>
    </row>
    <row r="45" spans="1:6" ht="19" x14ac:dyDescent="0.25">
      <c r="A45" s="5" t="s">
        <v>37</v>
      </c>
      <c r="B45" s="1">
        <v>5948000</v>
      </c>
      <c r="C45" s="1">
        <v>6557000</v>
      </c>
      <c r="D45" s="1">
        <v>13866000</v>
      </c>
      <c r="E45" s="1">
        <v>120827000</v>
      </c>
      <c r="F45" s="1">
        <v>133430000</v>
      </c>
    </row>
    <row r="46" spans="1:6" ht="19" x14ac:dyDescent="0.25">
      <c r="A46" s="5" t="s">
        <v>38</v>
      </c>
      <c r="B46" s="1" t="s">
        <v>91</v>
      </c>
      <c r="C46" s="1" t="s">
        <v>91</v>
      </c>
      <c r="D46" s="1" t="s">
        <v>91</v>
      </c>
      <c r="E46" s="1">
        <v>1772043000</v>
      </c>
      <c r="F46" s="1">
        <v>2362893000</v>
      </c>
    </row>
    <row r="47" spans="1:6" ht="19" x14ac:dyDescent="0.25">
      <c r="A47" s="5" t="s">
        <v>39</v>
      </c>
      <c r="B47" s="1" t="s">
        <v>91</v>
      </c>
      <c r="C47" s="1" t="s">
        <v>91</v>
      </c>
      <c r="D47" s="1" t="s">
        <v>91</v>
      </c>
      <c r="E47" s="1">
        <v>417341000</v>
      </c>
      <c r="F47" s="1">
        <v>432583000</v>
      </c>
    </row>
    <row r="48" spans="1:6" ht="19" x14ac:dyDescent="0.25">
      <c r="A48" s="5" t="s">
        <v>40</v>
      </c>
      <c r="B48" s="1" t="s">
        <v>91</v>
      </c>
      <c r="C48" s="1" t="s">
        <v>91</v>
      </c>
      <c r="D48" s="1" t="s">
        <v>91</v>
      </c>
      <c r="E48" s="1">
        <v>2189384000</v>
      </c>
      <c r="F48" s="1">
        <v>2795476000</v>
      </c>
    </row>
    <row r="49" spans="1:6" ht="19" x14ac:dyDescent="0.25">
      <c r="A49" s="5" t="s">
        <v>41</v>
      </c>
      <c r="B49" s="1" t="s">
        <v>91</v>
      </c>
      <c r="C49" s="1" t="s">
        <v>91</v>
      </c>
      <c r="D49" s="1" t="s">
        <v>91</v>
      </c>
      <c r="E49" s="1" t="s">
        <v>91</v>
      </c>
      <c r="F49" s="1" t="s">
        <v>91</v>
      </c>
    </row>
    <row r="50" spans="1:6" ht="19" x14ac:dyDescent="0.25">
      <c r="A50" s="5" t="s">
        <v>42</v>
      </c>
      <c r="B50" s="1" t="s">
        <v>91</v>
      </c>
      <c r="C50" s="1" t="s">
        <v>91</v>
      </c>
      <c r="D50" s="1" t="s">
        <v>91</v>
      </c>
      <c r="E50" s="1" t="s">
        <v>91</v>
      </c>
      <c r="F50" s="1" t="s">
        <v>91</v>
      </c>
    </row>
    <row r="51" spans="1:6" ht="19" x14ac:dyDescent="0.25">
      <c r="A51" s="5" t="s">
        <v>43</v>
      </c>
      <c r="B51" s="1">
        <v>4626000</v>
      </c>
      <c r="C51" s="1">
        <v>6641000</v>
      </c>
      <c r="D51" s="1">
        <v>10700000</v>
      </c>
      <c r="E51" s="1">
        <v>52925000</v>
      </c>
      <c r="F51" s="1">
        <v>47730000</v>
      </c>
    </row>
    <row r="52" spans="1:6" ht="19" x14ac:dyDescent="0.25">
      <c r="A52" s="5" t="s">
        <v>44</v>
      </c>
      <c r="B52" s="1">
        <v>10574000</v>
      </c>
      <c r="C52" s="1">
        <v>13198000</v>
      </c>
      <c r="D52" s="1">
        <v>24566000</v>
      </c>
      <c r="E52" s="1">
        <v>2363136000</v>
      </c>
      <c r="F52" s="1">
        <v>2976636000</v>
      </c>
    </row>
    <row r="53" spans="1:6" ht="19" x14ac:dyDescent="0.25">
      <c r="A53" s="5" t="s">
        <v>45</v>
      </c>
      <c r="B53" s="1" t="s">
        <v>91</v>
      </c>
      <c r="C53" s="1" t="s">
        <v>91</v>
      </c>
      <c r="D53" s="1" t="s">
        <v>91</v>
      </c>
      <c r="E53" s="1" t="s">
        <v>91</v>
      </c>
      <c r="F53" s="1" t="s">
        <v>91</v>
      </c>
    </row>
    <row r="54" spans="1:6" ht="19" x14ac:dyDescent="0.25">
      <c r="A54" s="7" t="s">
        <v>46</v>
      </c>
      <c r="B54" s="11">
        <v>1029283000</v>
      </c>
      <c r="C54" s="11">
        <v>1526298000</v>
      </c>
      <c r="D54" s="11">
        <v>2404015000</v>
      </c>
      <c r="E54" s="11">
        <v>5969173000</v>
      </c>
      <c r="F54" s="11">
        <v>9256026000</v>
      </c>
    </row>
    <row r="55" spans="1:6" ht="19" x14ac:dyDescent="0.25">
      <c r="A55" s="5" t="s">
        <v>47</v>
      </c>
      <c r="B55" s="1">
        <v>2026000</v>
      </c>
      <c r="C55" s="1">
        <v>5575000</v>
      </c>
      <c r="D55" s="1">
        <v>4091000</v>
      </c>
      <c r="E55" s="1">
        <v>11904000</v>
      </c>
      <c r="F55" s="1">
        <v>9948000</v>
      </c>
    </row>
    <row r="56" spans="1:6" ht="19" x14ac:dyDescent="0.25">
      <c r="A56" s="5" t="s">
        <v>48</v>
      </c>
      <c r="B56" s="1">
        <v>3667000</v>
      </c>
      <c r="C56" s="1">
        <v>494000</v>
      </c>
      <c r="D56" s="1">
        <v>2300000</v>
      </c>
      <c r="E56" s="1">
        <v>0</v>
      </c>
      <c r="F56" s="1">
        <v>0</v>
      </c>
    </row>
    <row r="57" spans="1:6" ht="19" x14ac:dyDescent="0.25">
      <c r="A57" s="5" t="s">
        <v>49</v>
      </c>
      <c r="B57" s="1">
        <v>935000</v>
      </c>
      <c r="C57" s="1">
        <v>2881000</v>
      </c>
      <c r="D57" s="1">
        <v>2976000</v>
      </c>
      <c r="E57" s="1" t="s">
        <v>91</v>
      </c>
      <c r="F57" s="1" t="s">
        <v>91</v>
      </c>
    </row>
    <row r="58" spans="1:6" ht="19" x14ac:dyDescent="0.25">
      <c r="A58" s="5" t="s">
        <v>50</v>
      </c>
      <c r="B58" s="1">
        <v>918290000</v>
      </c>
      <c r="C58" s="1">
        <v>1332775000</v>
      </c>
      <c r="D58" s="1">
        <v>1650141000</v>
      </c>
      <c r="E58" s="1">
        <v>2221446000</v>
      </c>
      <c r="F58" s="1">
        <v>3174528000</v>
      </c>
    </row>
    <row r="59" spans="1:6" ht="19" x14ac:dyDescent="0.25">
      <c r="A59" s="5" t="s">
        <v>51</v>
      </c>
      <c r="B59" s="1">
        <v>5660000</v>
      </c>
      <c r="C59" s="1">
        <v>7690000</v>
      </c>
      <c r="D59" s="1">
        <v>17339000</v>
      </c>
      <c r="E59" s="1">
        <v>92309000</v>
      </c>
      <c r="F59" s="1">
        <v>224181000</v>
      </c>
    </row>
    <row r="60" spans="1:6" ht="19" x14ac:dyDescent="0.25">
      <c r="A60" s="6" t="s">
        <v>52</v>
      </c>
      <c r="B60" s="10">
        <v>930578000</v>
      </c>
      <c r="C60" s="10">
        <v>1349415000</v>
      </c>
      <c r="D60" s="10">
        <v>1676847000</v>
      </c>
      <c r="E60" s="10">
        <v>2325659000</v>
      </c>
      <c r="F60" s="10">
        <v>3408657000</v>
      </c>
    </row>
    <row r="61" spans="1:6" ht="19" x14ac:dyDescent="0.25">
      <c r="A61" s="5" t="s">
        <v>53</v>
      </c>
      <c r="B61" s="1">
        <v>5833000</v>
      </c>
      <c r="C61" s="1" t="s">
        <v>91</v>
      </c>
      <c r="D61" s="1" t="s">
        <v>91</v>
      </c>
      <c r="E61" s="1">
        <v>1076020000</v>
      </c>
      <c r="F61" s="1">
        <v>1780713000</v>
      </c>
    </row>
    <row r="62" spans="1:6" ht="19" x14ac:dyDescent="0.25">
      <c r="A62" s="5" t="s">
        <v>50</v>
      </c>
      <c r="B62" s="1">
        <v>1931000</v>
      </c>
      <c r="C62" s="1">
        <v>1786000</v>
      </c>
      <c r="D62" s="1">
        <v>2622000</v>
      </c>
      <c r="E62" s="1">
        <v>2926000</v>
      </c>
      <c r="F62" s="1">
        <v>2159000</v>
      </c>
    </row>
    <row r="63" spans="1:6" ht="19" x14ac:dyDescent="0.25">
      <c r="A63" s="5" t="s">
        <v>54</v>
      </c>
      <c r="B63" s="1" t="s">
        <v>91</v>
      </c>
      <c r="C63" s="1" t="s">
        <v>91</v>
      </c>
      <c r="D63" s="1" t="s">
        <v>91</v>
      </c>
      <c r="E63" s="1">
        <v>9090000</v>
      </c>
      <c r="F63" s="1" t="s">
        <v>91</v>
      </c>
    </row>
    <row r="64" spans="1:6" ht="19" x14ac:dyDescent="0.25">
      <c r="A64" s="5" t="s">
        <v>55</v>
      </c>
      <c r="B64" s="1">
        <v>192845000</v>
      </c>
      <c r="C64" s="1">
        <v>277754000</v>
      </c>
      <c r="D64" s="1">
        <v>13827000</v>
      </c>
      <c r="E64" s="1">
        <v>25888000</v>
      </c>
      <c r="F64" s="1">
        <v>20803000</v>
      </c>
    </row>
    <row r="65" spans="1:6" ht="19" x14ac:dyDescent="0.25">
      <c r="A65" s="5" t="s">
        <v>56</v>
      </c>
      <c r="B65" s="1">
        <v>200609000</v>
      </c>
      <c r="C65" s="1">
        <v>279540000</v>
      </c>
      <c r="D65" s="1">
        <v>16449000</v>
      </c>
      <c r="E65" s="1">
        <v>1113924000</v>
      </c>
      <c r="F65" s="1">
        <v>1803675000</v>
      </c>
    </row>
    <row r="66" spans="1:6" ht="19" x14ac:dyDescent="0.25">
      <c r="A66" s="5" t="s">
        <v>57</v>
      </c>
      <c r="B66" s="1" t="s">
        <v>91</v>
      </c>
      <c r="C66" s="1" t="s">
        <v>91</v>
      </c>
      <c r="D66" s="1" t="s">
        <v>91</v>
      </c>
      <c r="E66" s="1" t="s">
        <v>91</v>
      </c>
      <c r="F66" s="1" t="s">
        <v>91</v>
      </c>
    </row>
    <row r="67" spans="1:6" ht="19" x14ac:dyDescent="0.25">
      <c r="A67" s="6" t="s">
        <v>58</v>
      </c>
      <c r="B67" s="10">
        <v>1131187000</v>
      </c>
      <c r="C67" s="10">
        <v>1628955000</v>
      </c>
      <c r="D67" s="10">
        <v>1693296000</v>
      </c>
      <c r="E67" s="10">
        <v>3439583000</v>
      </c>
      <c r="F67" s="10">
        <v>5212332000</v>
      </c>
    </row>
    <row r="68" spans="1:6" ht="19" x14ac:dyDescent="0.25">
      <c r="A68" s="5" t="s">
        <v>59</v>
      </c>
      <c r="B68" s="1">
        <v>1000</v>
      </c>
      <c r="C68" s="1">
        <v>1000</v>
      </c>
      <c r="D68" s="1">
        <v>2000</v>
      </c>
      <c r="E68" s="1">
        <v>2000</v>
      </c>
      <c r="F68" s="1">
        <v>2000</v>
      </c>
    </row>
    <row r="69" spans="1:6" ht="19" x14ac:dyDescent="0.25">
      <c r="A69" s="5" t="s">
        <v>60</v>
      </c>
      <c r="B69" s="1">
        <v>-110342000</v>
      </c>
      <c r="C69" s="1">
        <v>-117656000</v>
      </c>
      <c r="D69" s="1">
        <v>-148747000</v>
      </c>
      <c r="E69" s="1">
        <v>-247467000</v>
      </c>
      <c r="F69" s="1">
        <v>-544828000</v>
      </c>
    </row>
    <row r="70" spans="1:6" ht="19" x14ac:dyDescent="0.25">
      <c r="A70" s="5" t="s">
        <v>61</v>
      </c>
      <c r="B70" s="1">
        <v>-177000</v>
      </c>
      <c r="C70" s="1">
        <v>326000</v>
      </c>
      <c r="D70" s="1">
        <v>2420000</v>
      </c>
      <c r="E70" s="1">
        <v>-100000</v>
      </c>
      <c r="F70" s="1">
        <v>-10217000</v>
      </c>
    </row>
    <row r="71" spans="1:6" ht="19" x14ac:dyDescent="0.25">
      <c r="A71" s="5" t="s">
        <v>62</v>
      </c>
      <c r="B71" s="1">
        <v>8614000</v>
      </c>
      <c r="C71" s="1">
        <v>14672000</v>
      </c>
      <c r="D71" s="1">
        <v>857044000</v>
      </c>
      <c r="E71" s="1">
        <v>2777155000</v>
      </c>
      <c r="F71" s="1">
        <v>4598737000</v>
      </c>
    </row>
    <row r="72" spans="1:6" ht="19" x14ac:dyDescent="0.25">
      <c r="A72" s="6" t="s">
        <v>63</v>
      </c>
      <c r="B72" s="10">
        <v>-101904000</v>
      </c>
      <c r="C72" s="10">
        <v>-102657000</v>
      </c>
      <c r="D72" s="10">
        <v>710719000</v>
      </c>
      <c r="E72" s="10">
        <v>2529590000</v>
      </c>
      <c r="F72" s="10">
        <v>4043694000</v>
      </c>
    </row>
    <row r="73" spans="1:6" ht="19" x14ac:dyDescent="0.25">
      <c r="A73" s="7" t="s">
        <v>64</v>
      </c>
      <c r="B73" s="11">
        <v>1029283000</v>
      </c>
      <c r="C73" s="11">
        <v>1526298000</v>
      </c>
      <c r="D73" s="11">
        <v>2404015000</v>
      </c>
      <c r="E73" s="11">
        <v>5969173000</v>
      </c>
      <c r="F73" s="11">
        <v>9256026000</v>
      </c>
    </row>
    <row r="74" spans="1:6" ht="19"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-7195000</v>
      </c>
      <c r="C76" s="1">
        <v>-7314000</v>
      </c>
      <c r="D76" s="1">
        <v>-31091000</v>
      </c>
      <c r="E76" s="1">
        <v>-98720000</v>
      </c>
      <c r="F76" s="1">
        <v>-326361000</v>
      </c>
    </row>
    <row r="77" spans="1:6" ht="19" x14ac:dyDescent="0.25">
      <c r="A77" s="5" t="s">
        <v>13</v>
      </c>
      <c r="B77" s="1">
        <v>2314000</v>
      </c>
      <c r="C77" s="1">
        <v>3154000</v>
      </c>
      <c r="D77" s="1">
        <v>4257000</v>
      </c>
      <c r="E77" s="1">
        <v>11009000</v>
      </c>
      <c r="F77" s="1">
        <v>75977000</v>
      </c>
    </row>
    <row r="78" spans="1:6" ht="19" x14ac:dyDescent="0.25">
      <c r="A78" s="5" t="s">
        <v>67</v>
      </c>
      <c r="B78" s="1" t="s">
        <v>91</v>
      </c>
      <c r="C78" s="1">
        <v>-176000</v>
      </c>
      <c r="D78" s="1" t="s">
        <v>91</v>
      </c>
      <c r="E78" s="1">
        <v>-40617000</v>
      </c>
      <c r="F78" s="1">
        <v>-4075000</v>
      </c>
    </row>
    <row r="79" spans="1:6" ht="19" x14ac:dyDescent="0.25">
      <c r="A79" s="5" t="s">
        <v>68</v>
      </c>
      <c r="B79" s="1">
        <v>1545000</v>
      </c>
      <c r="C79" s="1">
        <v>4082000</v>
      </c>
      <c r="D79" s="1">
        <v>18064000</v>
      </c>
      <c r="E79" s="1">
        <v>68290000</v>
      </c>
      <c r="F79" s="1">
        <v>197157000</v>
      </c>
    </row>
    <row r="80" spans="1:6" ht="19" x14ac:dyDescent="0.25">
      <c r="A80" s="14" t="s">
        <v>103</v>
      </c>
      <c r="B80" s="15">
        <f t="shared" ref="B80:F80" si="8">B79/B3</f>
        <v>2.3818700377707547E-2</v>
      </c>
      <c r="C80" s="15">
        <f t="shared" si="8"/>
        <v>3.7673856263440116E-2</v>
      </c>
      <c r="D80" s="15">
        <f t="shared" si="8"/>
        <v>0.11461928934010153</v>
      </c>
      <c r="E80" s="15">
        <f t="shared" si="8"/>
        <v>0.28661364447149185</v>
      </c>
      <c r="F80" s="15">
        <f t="shared" si="8"/>
        <v>0.30711774427961908</v>
      </c>
    </row>
    <row r="81" spans="1:14" ht="19" x14ac:dyDescent="0.25">
      <c r="A81" s="5" t="s">
        <v>69</v>
      </c>
      <c r="B81" s="1">
        <v>-5202000</v>
      </c>
      <c r="C81" s="1">
        <v>-2675000</v>
      </c>
      <c r="D81" s="1">
        <v>7438000</v>
      </c>
      <c r="E81" s="1">
        <v>27884000</v>
      </c>
      <c r="F81" s="1">
        <v>39209000</v>
      </c>
    </row>
    <row r="82" spans="1:14" ht="19" x14ac:dyDescent="0.25">
      <c r="A82" s="5" t="s">
        <v>70</v>
      </c>
      <c r="B82" s="1">
        <v>-279000</v>
      </c>
      <c r="C82" s="1">
        <v>-2098000</v>
      </c>
      <c r="D82" s="1">
        <v>-1054000</v>
      </c>
      <c r="E82" s="1">
        <v>-6535000</v>
      </c>
      <c r="F82" s="1">
        <v>-3032000</v>
      </c>
    </row>
    <row r="83" spans="1:14" ht="21" x14ac:dyDescent="0.25">
      <c r="A83" s="5" t="s">
        <v>34</v>
      </c>
      <c r="B83" s="1" t="s">
        <v>91</v>
      </c>
      <c r="C83" s="1" t="s">
        <v>91</v>
      </c>
      <c r="D83" s="1" t="s">
        <v>91</v>
      </c>
      <c r="E83" s="1" t="s">
        <v>91</v>
      </c>
      <c r="F83" s="1" t="s">
        <v>91</v>
      </c>
      <c r="M83" s="65" t="s">
        <v>124</v>
      </c>
      <c r="N83" s="66"/>
    </row>
    <row r="84" spans="1:14" ht="19" x14ac:dyDescent="0.25">
      <c r="A84" s="5" t="s">
        <v>47</v>
      </c>
      <c r="B84" s="1">
        <v>-563000</v>
      </c>
      <c r="C84" s="1">
        <v>3171000</v>
      </c>
      <c r="D84" s="1">
        <v>-1596000</v>
      </c>
      <c r="E84" s="1">
        <v>7417000</v>
      </c>
      <c r="F84" s="1">
        <v>-3771000</v>
      </c>
      <c r="M84" s="67" t="s">
        <v>125</v>
      </c>
      <c r="N84" s="67"/>
    </row>
    <row r="85" spans="1:14" ht="20" x14ac:dyDescent="0.25">
      <c r="A85" s="5" t="s">
        <v>71</v>
      </c>
      <c r="B85" s="1">
        <v>771000</v>
      </c>
      <c r="C85" s="1">
        <v>47000</v>
      </c>
      <c r="D85" s="1">
        <v>3258000</v>
      </c>
      <c r="E85" s="1">
        <v>6854000</v>
      </c>
      <c r="F85" s="1" t="s">
        <v>91</v>
      </c>
      <c r="M85" s="33" t="s">
        <v>126</v>
      </c>
      <c r="N85" s="34">
        <f>F17</f>
        <v>28158000</v>
      </c>
    </row>
    <row r="86" spans="1:14" ht="20" x14ac:dyDescent="0.25">
      <c r="A86" s="5" t="s">
        <v>72</v>
      </c>
      <c r="B86" s="1">
        <v>182000</v>
      </c>
      <c r="C86" s="1">
        <v>-1020000</v>
      </c>
      <c r="D86" s="1">
        <v>-3098000</v>
      </c>
      <c r="E86" s="1">
        <v>36777000</v>
      </c>
      <c r="F86" s="1" t="s">
        <v>91</v>
      </c>
      <c r="M86" s="33" t="s">
        <v>127</v>
      </c>
      <c r="N86" s="34">
        <f>F56</f>
        <v>0</v>
      </c>
    </row>
    <row r="87" spans="1:14" ht="20" x14ac:dyDescent="0.25">
      <c r="A87" s="6" t="s">
        <v>73</v>
      </c>
      <c r="B87" s="10">
        <v>-8356000</v>
      </c>
      <c r="C87" s="10">
        <v>-3949000</v>
      </c>
      <c r="D87" s="10">
        <v>-4430000</v>
      </c>
      <c r="E87" s="10">
        <v>4623000</v>
      </c>
      <c r="F87" s="10">
        <v>-18093000</v>
      </c>
      <c r="M87" s="33" t="s">
        <v>128</v>
      </c>
      <c r="N87" s="34">
        <f>F61</f>
        <v>1780713000</v>
      </c>
    </row>
    <row r="88" spans="1:14" ht="20" x14ac:dyDescent="0.25">
      <c r="A88" s="5" t="s">
        <v>74</v>
      </c>
      <c r="B88" s="1">
        <v>-1313000</v>
      </c>
      <c r="C88" s="1">
        <v>-2743000</v>
      </c>
      <c r="D88" s="1">
        <v>-12076000</v>
      </c>
      <c r="E88" s="1">
        <v>-18902000</v>
      </c>
      <c r="F88" s="1">
        <v>-5377000</v>
      </c>
      <c r="M88" s="35" t="s">
        <v>129</v>
      </c>
      <c r="N88" s="36">
        <f>N85/(N86+N87)</f>
        <v>1.5812767133165199E-2</v>
      </c>
    </row>
    <row r="89" spans="1:14" ht="20" customHeight="1" x14ac:dyDescent="0.25">
      <c r="A89" s="14" t="s">
        <v>104</v>
      </c>
      <c r="B89" s="15">
        <f t="shared" ref="B89:F89" si="9">(-1*B88)/B3</f>
        <v>2.0242041162414244E-2</v>
      </c>
      <c r="C89" s="15">
        <f t="shared" si="9"/>
        <v>2.5315871565560078E-2</v>
      </c>
      <c r="D89" s="15">
        <f t="shared" si="9"/>
        <v>7.6624365482233503E-2</v>
      </c>
      <c r="E89" s="15">
        <f t="shared" si="9"/>
        <v>7.9331836400646338E-2</v>
      </c>
      <c r="F89" s="15">
        <f t="shared" si="9"/>
        <v>8.3759243191543382E-3</v>
      </c>
      <c r="M89" s="33" t="s">
        <v>105</v>
      </c>
      <c r="N89" s="34">
        <f>F27</f>
        <v>4318000</v>
      </c>
    </row>
    <row r="90" spans="1:14" ht="20" x14ac:dyDescent="0.25">
      <c r="A90" s="5" t="s">
        <v>75</v>
      </c>
      <c r="B90" s="1" t="s">
        <v>91</v>
      </c>
      <c r="C90" s="1" t="s">
        <v>91</v>
      </c>
      <c r="D90" s="1" t="s">
        <v>91</v>
      </c>
      <c r="E90" s="1">
        <v>-556090000</v>
      </c>
      <c r="F90" s="1">
        <v>-144349000</v>
      </c>
      <c r="M90" s="33" t="s">
        <v>19</v>
      </c>
      <c r="N90" s="34">
        <f>F25</f>
        <v>-330679000</v>
      </c>
    </row>
    <row r="91" spans="1:14" ht="20" x14ac:dyDescent="0.25">
      <c r="A91" s="5" t="s">
        <v>76</v>
      </c>
      <c r="B91" s="1">
        <v>-726788000</v>
      </c>
      <c r="C91" s="1">
        <v>-830622000</v>
      </c>
      <c r="D91" s="1">
        <v>-1088611000</v>
      </c>
      <c r="E91" s="1">
        <v>-2070296000</v>
      </c>
      <c r="F91" s="1">
        <v>-2790311000</v>
      </c>
      <c r="M91" s="35" t="s">
        <v>130</v>
      </c>
      <c r="N91" s="36">
        <f>N89/N90</f>
        <v>-1.3057980700316621E-2</v>
      </c>
    </row>
    <row r="92" spans="1:14" ht="20" x14ac:dyDescent="0.25">
      <c r="A92" s="5" t="s">
        <v>77</v>
      </c>
      <c r="B92" s="1">
        <v>307326000</v>
      </c>
      <c r="C92" s="1">
        <v>749018000</v>
      </c>
      <c r="D92" s="1">
        <v>852159000</v>
      </c>
      <c r="E92" s="1">
        <v>1247197000</v>
      </c>
      <c r="F92" s="1">
        <v>1958218000</v>
      </c>
      <c r="M92" s="35" t="s">
        <v>131</v>
      </c>
      <c r="N92" s="36">
        <f>N88*(1-N91)</f>
        <v>1.6019249941208673E-2</v>
      </c>
    </row>
    <row r="93" spans="1:14" ht="19" x14ac:dyDescent="0.25">
      <c r="A93" s="5" t="s">
        <v>78</v>
      </c>
      <c r="B93" s="1">
        <v>2953000</v>
      </c>
      <c r="C93" s="1">
        <v>-335454000</v>
      </c>
      <c r="D93" s="1">
        <v>-959000</v>
      </c>
      <c r="E93" s="1">
        <v>-28799000</v>
      </c>
      <c r="F93" s="1">
        <v>-145483000</v>
      </c>
      <c r="M93" s="67" t="s">
        <v>132</v>
      </c>
      <c r="N93" s="67"/>
    </row>
    <row r="94" spans="1:14" ht="20" x14ac:dyDescent="0.25">
      <c r="A94" s="6" t="s">
        <v>79</v>
      </c>
      <c r="B94" s="10">
        <v>-417822000</v>
      </c>
      <c r="C94" s="10">
        <v>-419801000</v>
      </c>
      <c r="D94" s="10">
        <v>-249487000</v>
      </c>
      <c r="E94" s="10">
        <v>-1426890000</v>
      </c>
      <c r="F94" s="10">
        <v>-1127302000</v>
      </c>
      <c r="M94" s="33" t="s">
        <v>133</v>
      </c>
      <c r="N94" s="37">
        <f>[1]Treasuries!$C$8</f>
        <v>3.9120000000000002E-2</v>
      </c>
    </row>
    <row r="95" spans="1:14" ht="20" x14ac:dyDescent="0.25">
      <c r="A95" s="5" t="s">
        <v>80</v>
      </c>
      <c r="B95" s="1">
        <v>-3387000</v>
      </c>
      <c r="C95" s="1">
        <v>-9500000</v>
      </c>
      <c r="D95" s="1" t="s">
        <v>91</v>
      </c>
      <c r="E95" s="1">
        <v>-2300000</v>
      </c>
      <c r="F95" s="1">
        <v>-40000000</v>
      </c>
      <c r="M95" s="33" t="s">
        <v>134</v>
      </c>
      <c r="N95" s="38" cm="1">
        <f t="array" ref="N95">_FV(A1,"Beta")</f>
        <v>1.9392</v>
      </c>
    </row>
    <row r="96" spans="1:14" ht="20" x14ac:dyDescent="0.25">
      <c r="A96" s="5" t="s">
        <v>81</v>
      </c>
      <c r="B96" s="1" t="s">
        <v>91</v>
      </c>
      <c r="C96" s="1" t="s">
        <v>91</v>
      </c>
      <c r="D96" s="1">
        <v>533657000</v>
      </c>
      <c r="E96" s="1" t="s">
        <v>91</v>
      </c>
      <c r="F96" s="1">
        <v>1341122000</v>
      </c>
      <c r="M96" s="33" t="s">
        <v>135</v>
      </c>
      <c r="N96" s="37">
        <v>8.4000000000000005E-2</v>
      </c>
    </row>
    <row r="97" spans="1:14" ht="20" x14ac:dyDescent="0.25">
      <c r="A97" s="5" t="s">
        <v>82</v>
      </c>
      <c r="B97" s="1" t="s">
        <v>91</v>
      </c>
      <c r="C97" s="1" t="s">
        <v>91</v>
      </c>
      <c r="D97" s="1" t="s">
        <v>91</v>
      </c>
      <c r="E97" s="1" t="s">
        <v>91</v>
      </c>
      <c r="F97" s="1" t="s">
        <v>91</v>
      </c>
      <c r="M97" s="35" t="s">
        <v>136</v>
      </c>
      <c r="N97" s="36">
        <f>(N94)+((N95)*(N96-N94))</f>
        <v>0.12615129600000002</v>
      </c>
    </row>
    <row r="98" spans="1:14" ht="19" x14ac:dyDescent="0.25">
      <c r="A98" s="5" t="s">
        <v>83</v>
      </c>
      <c r="B98" s="1" t="s">
        <v>91</v>
      </c>
      <c r="C98" s="1" t="s">
        <v>91</v>
      </c>
      <c r="D98" s="1" t="s">
        <v>91</v>
      </c>
      <c r="E98" s="1" t="s">
        <v>91</v>
      </c>
      <c r="F98" s="1">
        <v>0</v>
      </c>
      <c r="M98" s="67" t="s">
        <v>137</v>
      </c>
      <c r="N98" s="67"/>
    </row>
    <row r="99" spans="1:14" ht="20" x14ac:dyDescent="0.25">
      <c r="A99" s="5" t="s">
        <v>84</v>
      </c>
      <c r="B99" s="1">
        <v>329669000</v>
      </c>
      <c r="C99" s="1">
        <v>501155000</v>
      </c>
      <c r="D99" s="1">
        <v>329469000</v>
      </c>
      <c r="E99" s="1">
        <v>1641883000</v>
      </c>
      <c r="F99" s="1">
        <v>1577444000</v>
      </c>
      <c r="M99" s="33" t="s">
        <v>138</v>
      </c>
      <c r="N99" s="34">
        <f>N86+N87</f>
        <v>1780713000</v>
      </c>
    </row>
    <row r="100" spans="1:14" ht="20" x14ac:dyDescent="0.25">
      <c r="A100" s="6" t="s">
        <v>85</v>
      </c>
      <c r="B100" s="10">
        <v>326282000</v>
      </c>
      <c r="C100" s="10">
        <v>491655000</v>
      </c>
      <c r="D100" s="10">
        <v>863126000</v>
      </c>
      <c r="E100" s="10">
        <v>1639583000</v>
      </c>
      <c r="F100" s="10">
        <v>2878566000</v>
      </c>
      <c r="M100" s="35" t="s">
        <v>139</v>
      </c>
      <c r="N100" s="36">
        <f>N99/N103</f>
        <v>0.12368543815417531</v>
      </c>
    </row>
    <row r="101" spans="1:14" ht="20" x14ac:dyDescent="0.25">
      <c r="A101" s="5" t="s">
        <v>86</v>
      </c>
      <c r="B101" s="1" t="s">
        <v>91</v>
      </c>
      <c r="C101" s="1" t="s">
        <v>91</v>
      </c>
      <c r="D101" s="1" t="s">
        <v>91</v>
      </c>
      <c r="E101" s="1" t="s">
        <v>91</v>
      </c>
      <c r="F101" s="1">
        <v>-149000</v>
      </c>
      <c r="M101" s="33" t="s">
        <v>140</v>
      </c>
      <c r="N101" s="39" cm="1">
        <f t="array" ref="N101">_FV(A1,"Market cap",TRUE)</f>
        <v>12616398144</v>
      </c>
    </row>
    <row r="102" spans="1:14" ht="20" x14ac:dyDescent="0.25">
      <c r="A102" s="6" t="s">
        <v>87</v>
      </c>
      <c r="B102" s="10">
        <v>-99896000</v>
      </c>
      <c r="C102" s="10">
        <v>67905000</v>
      </c>
      <c r="D102" s="10">
        <v>609209000</v>
      </c>
      <c r="E102" s="10">
        <v>217316000</v>
      </c>
      <c r="F102" s="10">
        <v>1733022000</v>
      </c>
      <c r="M102" s="35" t="s">
        <v>141</v>
      </c>
      <c r="N102" s="36">
        <f>N101/N103</f>
        <v>0.87631456184582468</v>
      </c>
    </row>
    <row r="103" spans="1:14" ht="20" x14ac:dyDescent="0.25">
      <c r="A103" s="5" t="s">
        <v>88</v>
      </c>
      <c r="B103" s="1">
        <v>691464000</v>
      </c>
      <c r="C103" s="1">
        <v>22401000</v>
      </c>
      <c r="D103" s="1">
        <v>983168000</v>
      </c>
      <c r="E103" s="1">
        <v>1592377000</v>
      </c>
      <c r="F103" s="1">
        <v>1809693000</v>
      </c>
      <c r="M103" s="35" t="s">
        <v>142</v>
      </c>
      <c r="N103" s="40">
        <f>N99+N101</f>
        <v>14397111144</v>
      </c>
    </row>
    <row r="104" spans="1:14" ht="20" thickBot="1" x14ac:dyDescent="0.3">
      <c r="A104" s="7" t="s">
        <v>89</v>
      </c>
      <c r="B104" s="11">
        <v>591568000</v>
      </c>
      <c r="C104" s="11">
        <v>90306000</v>
      </c>
      <c r="D104" s="11">
        <v>1592377000</v>
      </c>
      <c r="E104" s="11">
        <v>1809693000</v>
      </c>
      <c r="F104" s="11">
        <v>3542715000</v>
      </c>
      <c r="M104" s="67" t="s">
        <v>143</v>
      </c>
      <c r="N104" s="67"/>
    </row>
    <row r="105" spans="1:14" ht="21" thickTop="1" x14ac:dyDescent="0.25">
      <c r="A105" s="14" t="s">
        <v>164</v>
      </c>
      <c r="B105" s="1">
        <f t="shared" ref="B105:E105" si="10">(B22*(1-0.2))+B77+B88+B81</f>
        <v>-10454600</v>
      </c>
      <c r="C105" s="1">
        <f t="shared" si="10"/>
        <v>-10106400</v>
      </c>
      <c r="D105" s="1">
        <f t="shared" si="10"/>
        <v>-27739400</v>
      </c>
      <c r="E105" s="1">
        <f t="shared" si="10"/>
        <v>-71182600</v>
      </c>
      <c r="F105" s="1">
        <f>(F22*(1-0.2))+F77+F88+F81</f>
        <v>-143645400</v>
      </c>
      <c r="G105" s="30">
        <f>F105*(1+$N$106)</f>
        <v>-187745861.55235603</v>
      </c>
      <c r="H105" s="30">
        <f t="shared" ref="H105:K105" si="11">G105*(1+$N$106)</f>
        <v>-245385571.2054576</v>
      </c>
      <c r="I105" s="30">
        <f t="shared" si="11"/>
        <v>-320721202.89605963</v>
      </c>
      <c r="J105" s="30">
        <f t="shared" si="11"/>
        <v>-419185567.76498729</v>
      </c>
      <c r="K105" s="30">
        <f t="shared" si="11"/>
        <v>-547879400.03892267</v>
      </c>
      <c r="L105" s="28" t="s">
        <v>162</v>
      </c>
      <c r="M105" s="41" t="s">
        <v>106</v>
      </c>
      <c r="N105" s="42">
        <f>(N100*N92)+(N102*N97)</f>
        <v>0.11252956562840261</v>
      </c>
    </row>
    <row r="106" spans="1:14" ht="19" x14ac:dyDescent="0.25">
      <c r="A106" s="14" t="s">
        <v>165</v>
      </c>
      <c r="B106" s="1"/>
      <c r="C106" s="15">
        <f>(C107/B107)-1</f>
        <v>-0.20707556239184777</v>
      </c>
      <c r="D106" s="15">
        <f>(D107/C107)-1</f>
        <v>1.0012124151309409</v>
      </c>
      <c r="E106" s="15">
        <f>(E107/D107)-1</f>
        <v>4.6649703138252896E-3</v>
      </c>
      <c r="F106" s="15">
        <f>(F107/E107)-1</f>
        <v>0.27262859554965924</v>
      </c>
      <c r="G106" s="31">
        <v>-86000000</v>
      </c>
      <c r="H106" s="31">
        <v>11000000</v>
      </c>
      <c r="I106" s="31">
        <v>2105000</v>
      </c>
      <c r="J106" s="31">
        <v>153000000</v>
      </c>
      <c r="K106" s="31">
        <v>371000000</v>
      </c>
      <c r="L106" s="28" t="s">
        <v>163</v>
      </c>
      <c r="M106" s="43" t="s">
        <v>144</v>
      </c>
      <c r="N106" s="44">
        <f>(SUM(G4:K4)/5)</f>
        <v>0.30700921541766074</v>
      </c>
    </row>
    <row r="107" spans="1:14" ht="19" x14ac:dyDescent="0.25">
      <c r="A107" s="63" t="s">
        <v>166</v>
      </c>
      <c r="B107" s="1">
        <v>-10402000</v>
      </c>
      <c r="C107" s="1">
        <v>-8248000</v>
      </c>
      <c r="D107" s="1">
        <v>-16506000</v>
      </c>
      <c r="E107" s="1">
        <v>-16583000</v>
      </c>
      <c r="F107" s="1">
        <v>-21104000</v>
      </c>
      <c r="G107" s="28"/>
      <c r="H107" s="28"/>
      <c r="I107" s="28"/>
      <c r="J107" s="28"/>
      <c r="K107" s="32">
        <f>K106*(1+N107)/(N108-N107)</f>
        <v>4344532013.4960651</v>
      </c>
      <c r="L107" s="29" t="s">
        <v>145</v>
      </c>
      <c r="M107" s="45" t="s">
        <v>146</v>
      </c>
      <c r="N107" s="46">
        <v>2.5000000000000001E-2</v>
      </c>
    </row>
    <row r="108" spans="1:14" ht="19" x14ac:dyDescent="0.25">
      <c r="G108" s="32">
        <f t="shared" ref="G108:J108" si="12">G107+G106</f>
        <v>-86000000</v>
      </c>
      <c r="H108" s="32">
        <f t="shared" si="12"/>
        <v>11000000</v>
      </c>
      <c r="I108" s="32">
        <f t="shared" si="12"/>
        <v>2105000</v>
      </c>
      <c r="J108" s="32">
        <f t="shared" si="12"/>
        <v>153000000</v>
      </c>
      <c r="K108" s="32">
        <f>K107+K106</f>
        <v>4715532013.4960651</v>
      </c>
      <c r="L108" s="29" t="s">
        <v>142</v>
      </c>
      <c r="M108" s="47" t="s">
        <v>147</v>
      </c>
      <c r="N108" s="44">
        <f>N105</f>
        <v>0.11252956562840261</v>
      </c>
    </row>
    <row r="109" spans="1:14" ht="19" x14ac:dyDescent="0.25">
      <c r="G109" s="64" t="s">
        <v>148</v>
      </c>
      <c r="H109" s="64"/>
    </row>
    <row r="110" spans="1:14" ht="20" x14ac:dyDescent="0.25">
      <c r="G110" s="48" t="s">
        <v>149</v>
      </c>
      <c r="H110" s="39">
        <f>NPV(N108,G108,H108,I108,J108,K108)</f>
        <v>2799755930.3136768</v>
      </c>
    </row>
    <row r="111" spans="1:14" ht="20" x14ac:dyDescent="0.25">
      <c r="G111" s="48" t="s">
        <v>150</v>
      </c>
      <c r="H111" s="39">
        <f>F40</f>
        <v>2705035000</v>
      </c>
    </row>
    <row r="112" spans="1:14" ht="20" x14ac:dyDescent="0.25">
      <c r="G112" s="48" t="s">
        <v>138</v>
      </c>
      <c r="H112" s="39">
        <f>N99</f>
        <v>1780713000</v>
      </c>
    </row>
    <row r="113" spans="7:8" ht="20" x14ac:dyDescent="0.25">
      <c r="G113" s="48" t="s">
        <v>151</v>
      </c>
      <c r="H113" s="39">
        <f>H110+H111-H112</f>
        <v>3724077930.3136768</v>
      </c>
    </row>
    <row r="114" spans="7:8" ht="20" x14ac:dyDescent="0.25">
      <c r="G114" s="48" t="s">
        <v>156</v>
      </c>
      <c r="H114" s="48" cm="1">
        <f t="array" ref="H114">_FV(A1,"Shares outstanding",TRUE)</f>
        <v>106270200</v>
      </c>
    </row>
    <row r="115" spans="7:8" ht="20" x14ac:dyDescent="0.25">
      <c r="G115" s="49" t="s">
        <v>152</v>
      </c>
      <c r="H115" s="50">
        <f>H113/H114</f>
        <v>35.043482841978999</v>
      </c>
    </row>
    <row r="116" spans="7:8" ht="20" x14ac:dyDescent="0.25">
      <c r="G116" s="48" t="s">
        <v>153</v>
      </c>
      <c r="H116" s="51" cm="1">
        <f t="array" ref="H116">_FV(A1,"Price")</f>
        <v>118.72</v>
      </c>
    </row>
    <row r="117" spans="7:8" ht="20" x14ac:dyDescent="0.25">
      <c r="G117" s="49" t="s">
        <v>154</v>
      </c>
      <c r="H117" s="52">
        <f>H115/H116-1</f>
        <v>-0.70482241541459745</v>
      </c>
    </row>
    <row r="118" spans="7:8" ht="20" x14ac:dyDescent="0.25">
      <c r="G118" s="49" t="s">
        <v>155</v>
      </c>
      <c r="H118" s="53" t="str">
        <f>IF(H115&gt;H116,"BUY","SELL")</f>
        <v>SELL</v>
      </c>
    </row>
  </sheetData>
  <mergeCells count="6">
    <mergeCell ref="G109:H109"/>
    <mergeCell ref="M83:N83"/>
    <mergeCell ref="M84:N84"/>
    <mergeCell ref="M93:N93"/>
    <mergeCell ref="M98:N98"/>
    <mergeCell ref="M104:N104"/>
  </mergeCells>
  <hyperlinks>
    <hyperlink ref="A1" r:id="rId1" tooltip="https://roic.ai/company/BILL" display="ROIC.AI | BIL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86352/000156459020041865/0001564590-20-041865-index.htm" xr:uid="{00000000-0004-0000-0000-000007000000}"/>
    <hyperlink ref="D74" r:id="rId7" tooltip="https://www.sec.gov/Archives/edgar/data/1786352/000156459020041865/0001564590-20-041865-index.htm" xr:uid="{00000000-0004-0000-0000-000008000000}"/>
    <hyperlink ref="E36" r:id="rId8" tooltip="https://www.sec.gov/Archives/edgar/data/1786352/000156459021046383/0001564590-21-046383-index.htm" xr:uid="{00000000-0004-0000-0000-00000A000000}"/>
    <hyperlink ref="E74" r:id="rId9" tooltip="https://www.sec.gov/Archives/edgar/data/1786352/000156459021046383/0001564590-21-046383-index.htm" xr:uid="{00000000-0004-0000-0000-00000B000000}"/>
    <hyperlink ref="F36" r:id="rId10" tooltip="https://www.sec.gov/Archives/edgar/data/1786352/000178635222000017/0001786352-22-000017-index.htm" xr:uid="{00000000-0004-0000-0000-00000D000000}"/>
    <hyperlink ref="F74" r:id="rId11" tooltip="https://www.sec.gov/Archives/edgar/data/1786352/000178635222000017/0001786352-22-000017-index.htm" xr:uid="{00000000-0004-0000-0000-00000E000000}"/>
    <hyperlink ref="G1" r:id="rId12" display="https://finbox.com/NYSE:BILL/explorer/revenue_proj" xr:uid="{B3C3E18B-C048-F341-82D5-4F5290F0948F}"/>
    <hyperlink ref="L106" r:id="rId13" xr:uid="{6AC46BAC-544F-4E40-AC53-C2355FA6F3DC}"/>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2023-03-13T09:50:04Z</dcterms:created>
  <dcterms:modified xsi:type="dcterms:W3CDTF">2023-07-29T04:44:33Z</dcterms:modified>
</cp:coreProperties>
</file>