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0913D6D-D35A-624C-9247-3674E8BA1DF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T22" i="1"/>
  <c r="Q30" i="1"/>
  <c r="P30" i="1"/>
  <c r="O30" i="1"/>
  <c r="N30" i="1"/>
  <c r="M30" i="1"/>
  <c r="Q29" i="1"/>
  <c r="P29" i="1"/>
  <c r="O29" i="1"/>
  <c r="N29" i="1"/>
  <c r="M29" i="1"/>
  <c r="Q21" i="1"/>
  <c r="P21" i="1"/>
  <c r="O21" i="1"/>
  <c r="N21" i="1"/>
  <c r="M21" i="1"/>
  <c r="Q20" i="1"/>
  <c r="P20" i="1"/>
  <c r="O20" i="1"/>
  <c r="N20" i="1"/>
  <c r="M20" i="1"/>
  <c r="U22" i="1"/>
  <c r="U19" i="1"/>
  <c r="T19" i="1"/>
  <c r="S19" i="1"/>
  <c r="B105" i="1"/>
  <c r="C105" i="1"/>
  <c r="D105" i="1"/>
  <c r="E105" i="1"/>
  <c r="F105" i="1"/>
  <c r="G105" i="1"/>
  <c r="H105" i="1"/>
  <c r="I105" i="1"/>
  <c r="J105" i="1"/>
  <c r="K105" i="1"/>
  <c r="L105" i="1"/>
  <c r="T94" i="1"/>
  <c r="N114" i="1" l="1"/>
  <c r="N116" i="1" a="1"/>
  <c r="N116" i="1" s="1"/>
  <c r="T101" i="1" a="1"/>
  <c r="T101" i="1" s="1"/>
  <c r="T95" i="1" a="1"/>
  <c r="T95" i="1" s="1"/>
  <c r="T97" i="1" s="1"/>
  <c r="N111" i="1"/>
  <c r="T90" i="1"/>
  <c r="T89" i="1"/>
  <c r="T91" i="1" s="1"/>
  <c r="T88" i="1"/>
  <c r="T92" i="1" s="1"/>
  <c r="T87" i="1"/>
  <c r="T86" i="1"/>
  <c r="T99" i="1" s="1"/>
  <c r="T85" i="1"/>
  <c r="R19" i="1"/>
  <c r="R16" i="1"/>
  <c r="U13" i="1"/>
  <c r="T13" i="1"/>
  <c r="S13" i="1"/>
  <c r="R13" i="1"/>
  <c r="U10" i="1"/>
  <c r="T10" i="1"/>
  <c r="S10" i="1"/>
  <c r="R10" i="1"/>
  <c r="U7" i="1"/>
  <c r="T7" i="1"/>
  <c r="S7" i="1"/>
  <c r="R7"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6" i="1"/>
  <c r="H106" i="1"/>
  <c r="I106" i="1"/>
  <c r="J106" i="1"/>
  <c r="K106" i="1"/>
  <c r="L106" i="1"/>
  <c r="U4" i="1" s="1"/>
  <c r="F106" i="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16" i="1" l="1"/>
  <c r="S16" i="1"/>
  <c r="T16" i="1"/>
  <c r="T106" i="1"/>
  <c r="M105" i="1" s="1"/>
  <c r="N105" i="1" s="1"/>
  <c r="O105" i="1" s="1"/>
  <c r="P105" i="1" s="1"/>
  <c r="Q105" i="1" s="1"/>
  <c r="T103" i="1"/>
  <c r="T102" i="1" s="1"/>
  <c r="N112" i="1"/>
  <c r="T100" i="1" l="1"/>
  <c r="T105" i="1" s="1"/>
  <c r="T108" i="1" s="1"/>
  <c r="Q107" i="1" l="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<sst xmlns="http://schemas.openxmlformats.org/spreadsheetml/2006/main" count="400" uniqueCount="167">
  <si>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</si>
  <si>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</si>
  <si>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</si>
  <si>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</si>
  <si>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</si>
  <si>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</si>
  <si>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</si>
  <si>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</si>
  <si>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</si>
  <si>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</si>
  <si>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</si>
  <si>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</si>
  <si>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</si>
  <si>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</si>
  <si>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</si>
  <si>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</si>
  <si>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</si>
  <si>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</si>
  <si>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</si>
  <si>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</si>
  <si>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</si>
  <si>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</si>
  <si>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</si>
  <si>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</si>
  <si>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</si>
  <si>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</si>
  <si>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</si>
  <si>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</si>
  <si>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</si>
  <si>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</si>
  <si>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</si>
  <si>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</si>
  <si>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</si>
  <si>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</si>
  <si>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</si>
  <si>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</si>
  <si>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</si>
  <si>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</si>
  <si>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</si>
  <si>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</si>
  <si>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</si>
  <si>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</si>
  <si>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</si>
  <si>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</si>
  <si>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</si>
  <si>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</si>
  <si>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</si>
  <si>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</si>
  <si>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</si>
  <si>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</si>
  <si>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</si>
  <si>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</si>
  <si>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</si>
  <si>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</si>
  <si>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</si>
  <si>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</si>
  <si>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</si>
  <si>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</si>
  <si>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</si>
  <si>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</si>
  <si>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</si>
  <si>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</si>
  <si>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</si>
  <si>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</si>
  <si>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</si>
  <si>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</si>
  <si>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</si>
  <si>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</si>
  <si>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</si>
  <si>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</si>
  <si>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</si>
  <si>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</si>
  <si>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</si>
  <si>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</si>
  <si>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</si>
  <si>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</si>
  <si>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</si>
  <si>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</si>
  <si>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</si>
  <si>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</si>
  <si>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</si>
  <si>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</si>
  <si>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</si>
  <si>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</si>
  <si>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</si>
  <si>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</si>
  <si>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</si>
  <si>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</si>
  <si>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</si>
  <si>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</si>
  <si>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</si>
  <si>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</si>
  <si>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</si>
  <si>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</si>
  <si>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</si>
  <si>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</si>
  <si>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</si>
  <si>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</si>
  <si>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</si>
  <si>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</si>
  <si>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</si>
  <si>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</si>
  <si>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</si>
  <si>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</si>
  <si>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</si>
  <si>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</si>
  <si>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</si>
  <si>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</si>
  <si>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</si>
  <si>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</si>
  <si>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</si>
  <si>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</si>
  <si>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</si>
  <si>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</si>
  <si>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</si>
  <si>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</si>
  <si>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</si>
  <si>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</si>
  <si>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</si>
  <si>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</si>
  <si>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</si>
  <si>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</si>
  <si>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</si>
  <si>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</si>
  <si>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</si>
  <si>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</si>
  <si>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</si>
  <si>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</si>
  <si>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</si>
  <si>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</si>
  <si>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</si>
  <si>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</si>
  <si>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</si>
  <si>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</si>
  <si>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</si>
  <si>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</si>
  <si>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</si>
  <si>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</si>
  <si>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</si>
  <si>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</si>
  <si>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</si>
  <si>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</si>
  <si>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</si>
  <si>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</si>
  <si>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</si>
  <si>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</si>
  <si>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</si>
  <si>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</si>
  <si>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</si>
  <si>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</si>
  <si>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</si>
  <si>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</si>
  <si>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</si>
  <si>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</si>
  <si>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</si>
  <si>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</si>
  <si>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</si>
  <si>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</si>
  <si>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Unlevered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</si>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</sst>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layout>
        <c:manualLayout>
          <c:xMode val="edge"/>
          <c:yMode val="edge"/>
          <c:x val="0.47144753494831448"/>
          <c:y val="3.97098176811871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10648918469212E-2"/>
          <c:y val="0.16656741216577972"/>
          <c:w val="0.83050915141430937"/>
          <c:h val="0.678044295086998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0868-694C-9C9E-0F281DE508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1'!$B$28:$L$28</c:f>
              <c:numCache>
                <c:formatCode>#,###,,;\(#,###,,\);\ \-\ \-</c:formatCode>
                <c:ptCount val="11"/>
                <c:pt idx="0">
                  <c:v>-112563000</c:v>
                </c:pt>
                <c:pt idx="1">
                  <c:v>-168557000</c:v>
                </c:pt>
                <c:pt idx="2">
                  <c:v>-168227000</c:v>
                </c:pt>
                <c:pt idx="3">
                  <c:v>-202948000</c:v>
                </c:pt>
                <c:pt idx="4">
                  <c:v>-151787000</c:v>
                </c:pt>
                <c:pt idx="5">
                  <c:v>-154960000</c:v>
                </c:pt>
                <c:pt idx="6">
                  <c:v>-134612000</c:v>
                </c:pt>
                <c:pt idx="7">
                  <c:v>-144348000</c:v>
                </c:pt>
                <c:pt idx="8">
                  <c:v>-43433000</c:v>
                </c:pt>
                <c:pt idx="9">
                  <c:v>-41459000</c:v>
                </c:pt>
                <c:pt idx="10">
                  <c:v>8567000</c:v>
                </c:pt>
              </c:numCache>
            </c:numRef>
          </c:val>
          <c:extLst>
            <c:ext xmlns:c16="http://schemas.microsoft.com/office/drawing/2014/chart" uri="{C3380CC4-5D6E-409C-BE32-E72D297353CC}">
              <c16:uniqueId val="{00000001-0868-694C-9C9E-0F281DE5089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1'!$B$107:$L$107</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0868-694C-9C9E-0F281DE5089F}"/>
            </c:ext>
          </c:extLst>
        </c:ser>
        <c:dLbls>
          <c:showLegendKey val="0"/>
          <c:showVal val="0"/>
          <c:showCatName val="0"/>
          <c:showSerName val="0"/>
          <c:showPercent val="0"/>
          <c:showBubbleSize val="0"/>
        </c:dLbls>
        <c:gapWidth val="100"/>
        <c:overlap val="-24"/>
        <c:axId val="1261919487"/>
        <c:axId val="1302117775"/>
      </c:barChart>
      <c:catAx>
        <c:axId val="126191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2117775"/>
        <c:crosses val="autoZero"/>
        <c:auto val="1"/>
        <c:lblAlgn val="ctr"/>
        <c:lblOffset val="100"/>
        <c:noMultiLvlLbl val="0"/>
      </c:catAx>
      <c:valAx>
        <c:axId val="1302117775"/>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1919487"/>
        <c:crosses val="autoZero"/>
        <c:crossBetween val="between"/>
      </c:valAx>
      <c:spPr>
        <a:noFill/>
        <a:ln>
          <a:noFill/>
        </a:ln>
        <a:effectLst/>
      </c:spPr>
    </c:plotArea>
    <c:legend>
      <c:legendPos val="b"/>
      <c:layout>
        <c:manualLayout>
          <c:xMode val="edge"/>
          <c:yMode val="edge"/>
          <c:x val="0.3420655862276783"/>
          <c:y val="0.8976754243129913"/>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15874</xdr:colOff>
      <xdr:row>108</xdr:row>
      <xdr:rowOff>17463</xdr:rowOff>
    </xdr:from>
    <xdr:to>
      <xdr:col>19</xdr:col>
      <xdr:colOff>1539874</xdr:colOff>
      <xdr:row>126</xdr:row>
      <xdr:rowOff>0</xdr:rowOff>
    </xdr:to>
    <xdr:graphicFrame macro="">
      <xdr:nvGraphicFramePr>
        <xdr:cNvPr id="3" name="Chart 2">
          <a:extLst>
            <a:ext uri="{FF2B5EF4-FFF2-40B4-BE49-F238E27FC236}">
              <a16:creationId xmlns:a16="http://schemas.microsoft.com/office/drawing/2014/main" id="{AA57A843-0E73-35F4-684D-B86527585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24</v>
    <v>0.99180000000000001</v>
    <v>0.53</v>
    <v>1.8669000000000002E-2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29.07</v>
    <v>Software &amp; IT Services</v>
    <v>Stock</v>
    <v>45099.958333378905</v>
    <v>0</v>
    <v>28.09</v>
    <v>4112432000</v>
    <v>BOX, INC.</v>
    <v>BOX, INC.</v>
    <v>28.24</v>
    <v>241.18090000000001</v>
    <v>28.39</v>
    <v>28.92</v>
    <v>144855000</v>
    <v>BOX</v>
    <v>BOX, INC. (XNYS:BOX)</v>
    <v>4</v>
    <v>1668984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hyperlink" Target="https://finbox.com/NYSE:BOX/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2" activePane="bottomRight" state="frozen"/>
      <selection pane="topRight"/>
      <selection pane="bottomLeft"/>
      <selection pane="bottomRight" activeCell="N12" sqref="N12"/>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4">
        <v>2024</v>
      </c>
      <c r="N1" s="24">
        <v>2025</v>
      </c>
      <c r="O1" s="24">
        <v>2026</v>
      </c>
      <c r="P1" s="24">
        <v>2027</v>
      </c>
      <c r="Q1" s="24">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5">
        <v>1052000000</v>
      </c>
      <c r="N3" s="25">
        <v>1154000000</v>
      </c>
      <c r="O3" s="25">
        <v>1307000000</v>
      </c>
      <c r="P3" s="25">
        <v>1513000000</v>
      </c>
      <c r="Q3" s="25">
        <v>1685000000</v>
      </c>
      <c r="R3" s="19" t="s">
        <v>107</v>
      </c>
      <c r="S3" s="20" t="s">
        <v>108</v>
      </c>
      <c r="T3" s="20" t="s">
        <v>109</v>
      </c>
      <c r="U3" s="20" t="s">
        <v>110</v>
      </c>
    </row>
    <row r="4" spans="1:38" ht="19" x14ac:dyDescent="0.25">
      <c r="A4" s="14" t="s">
        <v>93</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6.1688973572825656E-2</v>
      </c>
      <c r="N4" s="16">
        <f t="shared" si="0"/>
        <v>9.6958174904943073E-2</v>
      </c>
      <c r="O4" s="16">
        <f t="shared" si="0"/>
        <v>0.13258232235701906</v>
      </c>
      <c r="P4" s="16">
        <f t="shared" si="0"/>
        <v>0.15761285386381019</v>
      </c>
      <c r="Q4" s="16">
        <f t="shared" si="0"/>
        <v>0.11368142762723066</v>
      </c>
      <c r="R4" s="17">
        <f>(L4+K4+J4)/3</f>
        <v>0.12488753997429154</v>
      </c>
      <c r="S4" s="17">
        <f>(L20+K20+J20)/3</f>
        <v>2.5678136925541364E-3</v>
      </c>
      <c r="T4" s="17">
        <f>(L29+K29+J29)/3</f>
        <v>-0.65039876446779787</v>
      </c>
      <c r="U4" s="17">
        <f>(L106+K106+J106)/3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111</v>
      </c>
      <c r="S6" s="20" t="s">
        <v>112</v>
      </c>
      <c r="T6" s="20" t="s">
        <v>113</v>
      </c>
      <c r="U6" s="20" t="s">
        <v>114</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L107/L3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94</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95</v>
      </c>
      <c r="S9" s="20" t="s">
        <v>96</v>
      </c>
      <c r="T9" s="20" t="s">
        <v>97</v>
      </c>
      <c r="U9" s="20" t="s">
        <v>98</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115</v>
      </c>
      <c r="S12" s="20" t="s">
        <v>116</v>
      </c>
      <c r="T12" s="20" t="s">
        <v>117</v>
      </c>
      <c r="U12" s="20" t="s">
        <v>118</v>
      </c>
    </row>
    <row r="13" spans="1:38" ht="19" x14ac:dyDescent="0.25">
      <c r="A13" s="14" t="s">
        <v>99</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119</v>
      </c>
      <c r="S15" s="20" t="s">
        <v>120</v>
      </c>
      <c r="T15" s="20" t="s">
        <v>121</v>
      </c>
      <c r="U15" s="20" t="s">
        <v>122</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26">
        <f>(L35+K35+J35+I35+H35)/5</f>
        <v>3.1095773014356988E-2</v>
      </c>
      <c r="S16" s="54">
        <f>T101/L3</f>
        <v>4.1503077081445268</v>
      </c>
      <c r="T16" s="54">
        <f>T101/L28</f>
        <v>480.03174973736429</v>
      </c>
      <c r="U16" s="56">
        <f>T101/L107</f>
        <v>14.383256737945844</v>
      </c>
    </row>
    <row r="17" spans="1:21"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21"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123</v>
      </c>
      <c r="S18" s="20" t="s">
        <v>162</v>
      </c>
      <c r="T18" s="20" t="s">
        <v>163</v>
      </c>
      <c r="U18" s="20" t="s">
        <v>164</v>
      </c>
    </row>
    <row r="19" spans="1:21"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M19" s="58">
        <v>321600000</v>
      </c>
      <c r="N19" s="58">
        <v>382400000</v>
      </c>
      <c r="O19" s="58">
        <v>435900000</v>
      </c>
      <c r="P19" s="58">
        <v>542500000</v>
      </c>
      <c r="Q19" s="58">
        <v>646500000</v>
      </c>
      <c r="R19" s="27">
        <f>L40-L56-L61</f>
        <v>-103174000</v>
      </c>
      <c r="S19" s="54">
        <f>T101/M3</f>
        <v>3.9091558935361217</v>
      </c>
      <c r="T19" s="55">
        <f>T101/M28</f>
        <v>18.391914132379249</v>
      </c>
      <c r="U19" s="56">
        <f>T101/M106</f>
        <v>15.113678794560823</v>
      </c>
    </row>
    <row r="20" spans="1:21" ht="19" customHeight="1" x14ac:dyDescent="0.25">
      <c r="A20" s="14" t="s">
        <v>100</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Q20" si="9">(L19/K19)-1</f>
        <v>1.7354196301564722</v>
      </c>
      <c r="M20" s="16">
        <f t="shared" si="9"/>
        <v>2.8008793078995886</v>
      </c>
      <c r="N20" s="16">
        <f t="shared" si="9"/>
        <v>0.18905472636815923</v>
      </c>
      <c r="O20" s="16">
        <f t="shared" si="9"/>
        <v>0.13990585774058584</v>
      </c>
      <c r="P20" s="16">
        <f t="shared" si="9"/>
        <v>0.24455150263821968</v>
      </c>
      <c r="Q20" s="16">
        <f t="shared" si="9"/>
        <v>0.19170506912442398</v>
      </c>
    </row>
    <row r="21" spans="1:21" ht="20"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c r="M21" s="59">
        <f>M19/M3</f>
        <v>0.30570342205323192</v>
      </c>
      <c r="N21" s="59">
        <f t="shared" ref="N21:Q21" si="10">N19/N3</f>
        <v>0.33136915077989604</v>
      </c>
      <c r="O21" s="59">
        <f t="shared" si="10"/>
        <v>0.33351185921958681</v>
      </c>
      <c r="P21" s="59">
        <f t="shared" si="10"/>
        <v>0.3585591539986781</v>
      </c>
      <c r="Q21" s="59">
        <f t="shared" si="10"/>
        <v>0.38367952522255194</v>
      </c>
      <c r="T21" s="19" t="s">
        <v>165</v>
      </c>
      <c r="U21" s="20" t="s">
        <v>166</v>
      </c>
    </row>
    <row r="22" spans="1:21"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c r="T22" s="63">
        <f>L98/T101*-1</f>
        <v>3.6613371357872909E-3</v>
      </c>
      <c r="U22" s="57">
        <f>L107/T101</f>
        <v>6.9525283335991936E-2</v>
      </c>
    </row>
    <row r="23" spans="1:21"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21"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21"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21"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21"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21"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c r="M28" s="60">
        <v>223600000</v>
      </c>
      <c r="N28" s="60">
        <v>277600000</v>
      </c>
      <c r="O28" s="60">
        <v>329100000</v>
      </c>
      <c r="P28" s="60">
        <v>387600000</v>
      </c>
      <c r="Q28" s="60">
        <v>451000000</v>
      </c>
    </row>
    <row r="29" spans="1:21" ht="20" customHeight="1" thickTop="1" x14ac:dyDescent="0.25">
      <c r="A29" s="14" t="s">
        <v>101</v>
      </c>
      <c r="B29" s="1"/>
      <c r="C29" s="15">
        <f>(C28/B28)-1</f>
        <v>0.4974458747545818</v>
      </c>
      <c r="D29" s="15">
        <f>(D28/C28)-1</f>
        <v>-1.9577946925966039E-3</v>
      </c>
      <c r="E29" s="15">
        <f>(E28/D28)-1</f>
        <v>0.20639374178936798</v>
      </c>
      <c r="F29" s="15">
        <f t="shared" ref="F29" si="11">(F28/E28)-1</f>
        <v>-0.25208920511658162</v>
      </c>
      <c r="G29" s="15">
        <f t="shared" ref="G29" si="12">(G28/F28)-1</f>
        <v>2.0904293516572636E-2</v>
      </c>
      <c r="H29" s="15">
        <f t="shared" ref="H29" si="13">(H28/G28)-1</f>
        <v>-0.13131130614352093</v>
      </c>
      <c r="I29" s="15">
        <f t="shared" ref="I29" si="14">(I28/H28)-1</f>
        <v>7.2326389920660761E-2</v>
      </c>
      <c r="J29" s="15">
        <f t="shared" ref="J29" si="15">(J28/I28)-1</f>
        <v>-0.69910909745891869</v>
      </c>
      <c r="K29" s="15">
        <f t="shared" ref="K29" si="16">(K28/J28)-1</f>
        <v>-4.5449312734556657E-2</v>
      </c>
      <c r="L29" s="15">
        <f t="shared" ref="L29:P29" si="17">(L28/K28)-1</f>
        <v>-1.2066378832099183</v>
      </c>
      <c r="M29" s="16">
        <f t="shared" si="17"/>
        <v>25.100151745068285</v>
      </c>
      <c r="N29" s="16">
        <f t="shared" si="17"/>
        <v>0.2415026833631484</v>
      </c>
      <c r="O29" s="16">
        <f t="shared" si="17"/>
        <v>0.18551873198847257</v>
      </c>
      <c r="P29" s="16">
        <f t="shared" si="17"/>
        <v>0.1777575205104831</v>
      </c>
      <c r="Q29" s="16">
        <f>Q28/P28-1</f>
        <v>0.16357069143446856</v>
      </c>
    </row>
    <row r="30" spans="1:21"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c r="M30" s="61">
        <f>M28/M3</f>
        <v>0.21254752851711026</v>
      </c>
      <c r="N30" s="61">
        <f t="shared" ref="N30:Q30" si="18">N28/N3</f>
        <v>0.24055459272097054</v>
      </c>
      <c r="O30" s="61">
        <f t="shared" si="18"/>
        <v>0.25179801071155317</v>
      </c>
      <c r="P30" s="61">
        <f t="shared" si="18"/>
        <v>0.25617977528089886</v>
      </c>
      <c r="Q30" s="61">
        <f t="shared" si="18"/>
        <v>0.26765578635014836</v>
      </c>
    </row>
    <row r="31" spans="1:21"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c r="M31" s="62">
        <v>1.54</v>
      </c>
      <c r="N31" s="62">
        <v>1.92</v>
      </c>
      <c r="O31" s="62">
        <v>2.27</v>
      </c>
      <c r="P31" s="62">
        <v>2.68</v>
      </c>
      <c r="Q31" s="62">
        <v>3.11</v>
      </c>
    </row>
    <row r="32" spans="1:21"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102</v>
      </c>
      <c r="B35" s="1"/>
      <c r="C35" s="23">
        <f>(C34-B34)/B34</f>
        <v>-0.13204273200510108</v>
      </c>
      <c r="D35" s="23">
        <f t="shared" ref="D35:F35" si="19">(D34-C34)/C34</f>
        <v>-0.80906616566707612</v>
      </c>
      <c r="E35" s="23">
        <f t="shared" si="19"/>
        <v>6.6472814431689162</v>
      </c>
      <c r="F35" s="23">
        <f t="shared" si="19"/>
        <v>5.1377433190366216E-2</v>
      </c>
      <c r="G35" s="23">
        <f t="shared" ref="G35" si="20">(G34-F34)/F34</f>
        <v>5.0702523750872759E-2</v>
      </c>
      <c r="H35" s="23">
        <f t="shared" ref="H35" si="21">(H34-G34)/G34</f>
        <v>5.5393781919182872E-2</v>
      </c>
      <c r="I35" s="23">
        <f t="shared" ref="I35" si="22">(I34-H34)/H34</f>
        <v>4.5355179659146379E-2</v>
      </c>
      <c r="J35" s="23">
        <f t="shared" ref="J35" si="23">(J34-I34)/I34</f>
        <v>5.4729903493455689E-2</v>
      </c>
      <c r="K35" s="23">
        <f t="shared" ref="K35" si="24">(K34-J34)/J34</f>
        <v>0</v>
      </c>
      <c r="L35" s="23">
        <f t="shared" ref="L35" si="25">(L34-K34)/K34</f>
        <v>0</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91</v>
      </c>
      <c r="C39" s="1" t="s">
        <v>91</v>
      </c>
      <c r="D39" s="1" t="s">
        <v>91</v>
      </c>
      <c r="E39" s="1">
        <v>7379000</v>
      </c>
      <c r="F39" s="1" t="s">
        <v>91</v>
      </c>
      <c r="G39" s="1" t="s">
        <v>91</v>
      </c>
      <c r="H39" s="1" t="s">
        <v>91</v>
      </c>
      <c r="I39" s="1" t="s">
        <v>91</v>
      </c>
      <c r="J39" s="1" t="s">
        <v>91</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91</v>
      </c>
      <c r="C42" s="1" t="s">
        <v>91</v>
      </c>
      <c r="D42" s="1" t="s">
        <v>91</v>
      </c>
      <c r="E42" s="1" t="s">
        <v>91</v>
      </c>
      <c r="F42" s="1" t="s">
        <v>91</v>
      </c>
      <c r="G42" s="1" t="s">
        <v>91</v>
      </c>
      <c r="H42" s="1" t="s">
        <v>91</v>
      </c>
      <c r="I42" s="1" t="s">
        <v>91</v>
      </c>
      <c r="J42" s="1" t="s">
        <v>91</v>
      </c>
      <c r="K42" s="1" t="s">
        <v>91</v>
      </c>
      <c r="L42" s="1" t="s">
        <v>91</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91</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91</v>
      </c>
      <c r="I47" s="1">
        <v>25115000</v>
      </c>
      <c r="J47" s="1">
        <v>24820000</v>
      </c>
      <c r="K47" s="1" t="s">
        <v>91</v>
      </c>
      <c r="L47" s="1" t="s">
        <v>91</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91</v>
      </c>
      <c r="C49" s="1" t="s">
        <v>91</v>
      </c>
      <c r="D49" s="1" t="s">
        <v>91</v>
      </c>
      <c r="E49" s="1" t="s">
        <v>91</v>
      </c>
      <c r="F49" s="1" t="s">
        <v>91</v>
      </c>
      <c r="G49" s="1" t="s">
        <v>91</v>
      </c>
      <c r="H49" s="1" t="s">
        <v>91</v>
      </c>
      <c r="I49" s="1" t="s">
        <v>91</v>
      </c>
      <c r="J49" s="1" t="s">
        <v>91</v>
      </c>
      <c r="K49" s="1">
        <v>170000000</v>
      </c>
      <c r="L49" s="1" t="s">
        <v>91</v>
      </c>
    </row>
    <row r="50" spans="1:12" ht="19" x14ac:dyDescent="0.25">
      <c r="A50" s="5" t="s">
        <v>42</v>
      </c>
      <c r="B50" s="1" t="s">
        <v>91</v>
      </c>
      <c r="C50" s="1" t="s">
        <v>91</v>
      </c>
      <c r="D50" s="1" t="s">
        <v>91</v>
      </c>
      <c r="E50" s="1" t="s">
        <v>91</v>
      </c>
      <c r="F50" s="1" t="s">
        <v>91</v>
      </c>
      <c r="G50" s="1" t="s">
        <v>91</v>
      </c>
      <c r="H50" s="1" t="s">
        <v>91</v>
      </c>
      <c r="I50" s="1" t="s">
        <v>91</v>
      </c>
      <c r="J50" s="1" t="s">
        <v>91</v>
      </c>
      <c r="K50" s="1" t="s">
        <v>91</v>
      </c>
      <c r="L50" s="1" t="s">
        <v>91</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91</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91</v>
      </c>
      <c r="C57" s="1" t="s">
        <v>91</v>
      </c>
      <c r="D57" s="1" t="s">
        <v>91</v>
      </c>
      <c r="E57" s="1" t="s">
        <v>91</v>
      </c>
      <c r="F57" s="1" t="s">
        <v>91</v>
      </c>
      <c r="G57" s="1" t="s">
        <v>91</v>
      </c>
      <c r="H57" s="1" t="s">
        <v>91</v>
      </c>
      <c r="I57" s="1" t="s">
        <v>91</v>
      </c>
      <c r="J57" s="1" t="s">
        <v>91</v>
      </c>
      <c r="K57" s="1" t="s">
        <v>91</v>
      </c>
      <c r="L57" s="1" t="s">
        <v>91</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91</v>
      </c>
    </row>
    <row r="63" spans="1:12" ht="19" x14ac:dyDescent="0.25">
      <c r="A63" s="5" t="s">
        <v>54</v>
      </c>
      <c r="B63" s="1" t="s">
        <v>91</v>
      </c>
      <c r="C63" s="1" t="s">
        <v>91</v>
      </c>
      <c r="D63" s="1" t="s">
        <v>91</v>
      </c>
      <c r="E63" s="1" t="s">
        <v>91</v>
      </c>
      <c r="F63" s="1" t="s">
        <v>91</v>
      </c>
      <c r="G63" s="1" t="s">
        <v>91</v>
      </c>
      <c r="H63" s="1" t="s">
        <v>91</v>
      </c>
      <c r="I63" s="1" t="s">
        <v>91</v>
      </c>
      <c r="J63" s="1" t="s">
        <v>91</v>
      </c>
      <c r="K63" s="1" t="s">
        <v>91</v>
      </c>
      <c r="L63" s="1" t="s">
        <v>91</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91</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2"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91</v>
      </c>
      <c r="C78" s="1">
        <v>-2590000</v>
      </c>
      <c r="D78" s="1">
        <v>-1117000</v>
      </c>
      <c r="E78" s="1" t="s">
        <v>91</v>
      </c>
      <c r="F78" s="1" t="s">
        <v>91</v>
      </c>
      <c r="G78" s="1" t="s">
        <v>91</v>
      </c>
      <c r="H78" s="1" t="s">
        <v>91</v>
      </c>
      <c r="I78" s="1" t="s">
        <v>91</v>
      </c>
      <c r="J78" s="1" t="s">
        <v>91</v>
      </c>
      <c r="K78" s="1" t="s">
        <v>91</v>
      </c>
      <c r="L78" s="1" t="s">
        <v>91</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103</v>
      </c>
      <c r="B80" s="15">
        <f t="shared" ref="B80:L80" si="26">B79/B3</f>
        <v>0.12816980458186641</v>
      </c>
      <c r="C80" s="15">
        <f t="shared" si="26"/>
        <v>9.4603517134759077E-2</v>
      </c>
      <c r="D80" s="15">
        <f t="shared" si="26"/>
        <v>0.14751894289410461</v>
      </c>
      <c r="E80" s="15">
        <f t="shared" si="26"/>
        <v>0.19657487182197791</v>
      </c>
      <c r="F80" s="15">
        <f t="shared" si="26"/>
        <v>0.19661569724413894</v>
      </c>
      <c r="G80" s="15">
        <f t="shared" si="26"/>
        <v>0.1926040518273528</v>
      </c>
      <c r="H80" s="15">
        <f t="shared" si="26"/>
        <v>0.1960860374827823</v>
      </c>
      <c r="I80" s="15">
        <f t="shared" si="26"/>
        <v>0.20967334229545115</v>
      </c>
      <c r="J80" s="15">
        <f t="shared" si="26"/>
        <v>0.2001790417374833</v>
      </c>
      <c r="K80" s="15">
        <f t="shared" si="26"/>
        <v>0.20469798657718122</v>
      </c>
      <c r="L80" s="15">
        <f t="shared" si="26"/>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91</v>
      </c>
      <c r="C83" s="1" t="s">
        <v>91</v>
      </c>
      <c r="D83" s="1" t="s">
        <v>91</v>
      </c>
      <c r="E83" s="1" t="s">
        <v>91</v>
      </c>
      <c r="F83" s="1" t="s">
        <v>91</v>
      </c>
      <c r="G83" s="1" t="s">
        <v>91</v>
      </c>
      <c r="H83" s="1" t="s">
        <v>91</v>
      </c>
      <c r="I83" s="1" t="s">
        <v>91</v>
      </c>
      <c r="J83" s="1" t="s">
        <v>91</v>
      </c>
      <c r="K83" s="1" t="s">
        <v>91</v>
      </c>
      <c r="L83" s="1" t="s">
        <v>91</v>
      </c>
      <c r="S83" s="66" t="s">
        <v>124</v>
      </c>
      <c r="T83" s="67"/>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8" t="s">
        <v>125</v>
      </c>
      <c r="T84" s="68"/>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91</v>
      </c>
      <c r="S85" s="31" t="s">
        <v>126</v>
      </c>
      <c r="T85" s="32">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91</v>
      </c>
      <c r="S86" s="31" t="s">
        <v>127</v>
      </c>
      <c r="T86" s="32">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31" t="s">
        <v>128</v>
      </c>
      <c r="T87" s="32">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3" t="s">
        <v>129</v>
      </c>
      <c r="T88" s="34">
        <f>T85/(T86+T87)</f>
        <v>4.3106044767921873E-3</v>
      </c>
    </row>
    <row r="89" spans="1:20" ht="20" customHeight="1" x14ac:dyDescent="0.25">
      <c r="A89" s="14" t="s">
        <v>104</v>
      </c>
      <c r="B89" s="15">
        <f t="shared" ref="B89:L89" si="27">(-1*B88)/B3</f>
        <v>0.33163256628739562</v>
      </c>
      <c r="C89" s="15">
        <f t="shared" si="27"/>
        <v>0.19666323112599846</v>
      </c>
      <c r="D89" s="15">
        <f t="shared" si="27"/>
        <v>0.17871465533173167</v>
      </c>
      <c r="E89" s="15">
        <f t="shared" si="27"/>
        <v>0.24095816375072679</v>
      </c>
      <c r="F89" s="15">
        <f t="shared" si="27"/>
        <v>3.7520853978249141E-2</v>
      </c>
      <c r="G89" s="15">
        <f t="shared" si="27"/>
        <v>2.3357081609508792E-2</v>
      </c>
      <c r="H89" s="15">
        <f t="shared" si="27"/>
        <v>2.4339810580782596E-2</v>
      </c>
      <c r="I89" s="15">
        <f t="shared" si="27"/>
        <v>7.8303631955694963E-3</v>
      </c>
      <c r="J89" s="15">
        <f t="shared" si="27"/>
        <v>1.1744100055788367E-2</v>
      </c>
      <c r="K89" s="15">
        <f t="shared" si="27"/>
        <v>5.3778198670527896E-3</v>
      </c>
      <c r="L89" s="15">
        <f t="shared" si="27"/>
        <v>4.4738281557493691E-3</v>
      </c>
      <c r="S89" s="31" t="s">
        <v>105</v>
      </c>
      <c r="T89" s="32">
        <f>L27</f>
        <v>7624000</v>
      </c>
    </row>
    <row r="90" spans="1:20" ht="20" x14ac:dyDescent="0.25">
      <c r="A90" s="5" t="s">
        <v>75</v>
      </c>
      <c r="B90" s="1" t="s">
        <v>91</v>
      </c>
      <c r="C90" s="1" t="s">
        <v>91</v>
      </c>
      <c r="D90" s="1" t="s">
        <v>91</v>
      </c>
      <c r="E90" s="1" t="s">
        <v>91</v>
      </c>
      <c r="F90" s="1" t="s">
        <v>91</v>
      </c>
      <c r="G90" s="1" t="s">
        <v>91</v>
      </c>
      <c r="H90" s="1">
        <v>-458000</v>
      </c>
      <c r="I90" s="1" t="s">
        <v>91</v>
      </c>
      <c r="J90" s="1" t="s">
        <v>91</v>
      </c>
      <c r="K90" s="1">
        <v>-59395000</v>
      </c>
      <c r="L90" s="1" t="s">
        <v>91</v>
      </c>
      <c r="S90" s="31" t="s">
        <v>19</v>
      </c>
      <c r="T90" s="32">
        <f>L25</f>
        <v>34407000</v>
      </c>
    </row>
    <row r="91" spans="1:20" ht="20" x14ac:dyDescent="0.25">
      <c r="A91" s="5" t="s">
        <v>76</v>
      </c>
      <c r="B91" s="1">
        <v>-125000</v>
      </c>
      <c r="C91" s="1" t="s">
        <v>91</v>
      </c>
      <c r="D91" s="1" t="s">
        <v>91</v>
      </c>
      <c r="E91" s="1">
        <v>-112521000</v>
      </c>
      <c r="F91" s="1" t="s">
        <v>91</v>
      </c>
      <c r="G91" s="1" t="s">
        <v>91</v>
      </c>
      <c r="H91" s="1" t="s">
        <v>91</v>
      </c>
      <c r="I91" s="1" t="s">
        <v>91</v>
      </c>
      <c r="J91" s="1" t="s">
        <v>91</v>
      </c>
      <c r="K91" s="1">
        <v>-170000000</v>
      </c>
      <c r="L91" s="1">
        <v>-102088000</v>
      </c>
      <c r="S91" s="33" t="s">
        <v>130</v>
      </c>
      <c r="T91" s="34">
        <f>T89/T90</f>
        <v>0.22158281744993752</v>
      </c>
    </row>
    <row r="92" spans="1:20" ht="20" x14ac:dyDescent="0.25">
      <c r="A92" s="5" t="s">
        <v>77</v>
      </c>
      <c r="B92" s="1">
        <v>20000000</v>
      </c>
      <c r="C92" s="1" t="s">
        <v>91</v>
      </c>
      <c r="D92" s="1" t="s">
        <v>91</v>
      </c>
      <c r="E92" s="1">
        <v>104797000</v>
      </c>
      <c r="F92" s="1">
        <v>7297000</v>
      </c>
      <c r="G92" s="1" t="s">
        <v>91</v>
      </c>
      <c r="H92" s="1">
        <v>1874000</v>
      </c>
      <c r="I92" s="1">
        <v>105000</v>
      </c>
      <c r="J92" s="1">
        <v>107000</v>
      </c>
      <c r="K92" s="1" t="s">
        <v>91</v>
      </c>
      <c r="L92" s="1">
        <v>240000000</v>
      </c>
      <c r="S92" s="33" t="s">
        <v>131</v>
      </c>
      <c r="T92" s="34">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8" t="s">
        <v>132</v>
      </c>
      <c r="T93" s="68"/>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31" t="s">
        <v>133</v>
      </c>
      <c r="T94" s="35">
        <f>[1]Treasuries!$C$8</f>
        <v>3.9120000000000002E-2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31" t="s">
        <v>134</v>
      </c>
      <c r="T95" s="36" cm="1">
        <f t="array" ref="T95">_FV(A1,"Beta")</f>
        <v>0.99180000000000001</v>
      </c>
    </row>
    <row r="96" spans="1:20" ht="20" x14ac:dyDescent="0.25">
      <c r="A96" s="5" t="s">
        <v>81</v>
      </c>
      <c r="B96" s="1" t="s">
        <v>91</v>
      </c>
      <c r="C96" s="1" t="s">
        <v>91</v>
      </c>
      <c r="D96" s="1">
        <v>184237000</v>
      </c>
      <c r="E96" s="1" t="s">
        <v>91</v>
      </c>
      <c r="F96" s="1" t="s">
        <v>91</v>
      </c>
      <c r="G96" s="1" t="s">
        <v>91</v>
      </c>
      <c r="H96" s="1" t="s">
        <v>91</v>
      </c>
      <c r="I96" s="1" t="s">
        <v>91</v>
      </c>
      <c r="J96" s="1" t="s">
        <v>91</v>
      </c>
      <c r="K96" s="1">
        <v>25373000</v>
      </c>
      <c r="L96" s="1">
        <v>-103000</v>
      </c>
      <c r="S96" s="31" t="s">
        <v>135</v>
      </c>
      <c r="T96" s="35">
        <v>8.4000000000000005E-2</v>
      </c>
    </row>
    <row r="97" spans="1:20" ht="20" x14ac:dyDescent="0.25">
      <c r="A97" s="5" t="s">
        <v>82</v>
      </c>
      <c r="B97" s="1" t="s">
        <v>91</v>
      </c>
      <c r="C97" s="1" t="s">
        <v>91</v>
      </c>
      <c r="D97" s="1" t="s">
        <v>91</v>
      </c>
      <c r="E97" s="1">
        <v>-2172000</v>
      </c>
      <c r="F97" s="1" t="s">
        <v>91</v>
      </c>
      <c r="G97" s="1" t="s">
        <v>91</v>
      </c>
      <c r="H97" s="1" t="s">
        <v>91</v>
      </c>
      <c r="I97" s="1" t="s">
        <v>91</v>
      </c>
      <c r="J97" s="1" t="s">
        <v>91</v>
      </c>
      <c r="K97" s="1">
        <v>-561571000</v>
      </c>
      <c r="L97" s="1">
        <v>-274172000</v>
      </c>
      <c r="S97" s="33" t="s">
        <v>136</v>
      </c>
      <c r="T97" s="34">
        <f>(T94)+((T95)*(T96-T94))</f>
        <v>8.3631984000000006E-2</v>
      </c>
    </row>
    <row r="98" spans="1:20" ht="19" x14ac:dyDescent="0.25">
      <c r="A98" s="5" t="s">
        <v>83</v>
      </c>
      <c r="B98" s="1" t="s">
        <v>91</v>
      </c>
      <c r="C98" s="1" t="s">
        <v>91</v>
      </c>
      <c r="D98" s="1" t="s">
        <v>91</v>
      </c>
      <c r="E98" s="1" t="s">
        <v>91</v>
      </c>
      <c r="F98" s="1" t="s">
        <v>91</v>
      </c>
      <c r="G98" s="1" t="s">
        <v>91</v>
      </c>
      <c r="H98" s="1" t="s">
        <v>91</v>
      </c>
      <c r="I98" s="1" t="s">
        <v>91</v>
      </c>
      <c r="J98" s="1" t="s">
        <v>91</v>
      </c>
      <c r="K98" s="1">
        <v>-9619000</v>
      </c>
      <c r="L98" s="1">
        <v>-15057000</v>
      </c>
      <c r="S98" s="68" t="s">
        <v>137</v>
      </c>
      <c r="T98" s="68"/>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31" t="s">
        <v>138</v>
      </c>
      <c r="T99" s="32">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3" t="s">
        <v>139</v>
      </c>
      <c r="T100" s="34">
        <f>T99/T103</f>
        <v>0.12068411799897966</v>
      </c>
    </row>
    <row r="101" spans="1:20" ht="20" x14ac:dyDescent="0.25">
      <c r="A101" s="5" t="s">
        <v>86</v>
      </c>
      <c r="B101" s="1" t="s">
        <v>91</v>
      </c>
      <c r="C101" s="1">
        <v>15000</v>
      </c>
      <c r="D101" s="1">
        <v>-71000</v>
      </c>
      <c r="E101" s="1">
        <v>-26000</v>
      </c>
      <c r="F101" s="1">
        <v>-39000</v>
      </c>
      <c r="G101" s="1">
        <v>408000</v>
      </c>
      <c r="H101" s="1">
        <v>-273000</v>
      </c>
      <c r="I101" s="1">
        <v>-171000</v>
      </c>
      <c r="J101" s="1">
        <v>797000</v>
      </c>
      <c r="K101" s="1">
        <v>-1212000</v>
      </c>
      <c r="L101" s="1">
        <v>-9935000</v>
      </c>
      <c r="S101" s="31" t="s">
        <v>140</v>
      </c>
      <c r="T101" s="37" cm="1">
        <f t="array" ref="T101">_FV(A1,"Market cap",TRUE)</f>
        <v>4112432000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3" t="s">
        <v>141</v>
      </c>
      <c r="T102" s="34">
        <f>T101/T103</f>
        <v>0.8793158820010204</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3" t="s">
        <v>142</v>
      </c>
      <c r="T103" s="38">
        <f>T99+T101</f>
        <v>4676854000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8" t="s">
        <v>143</v>
      </c>
      <c r="T104" s="68"/>
    </row>
    <row r="105" spans="1:20" ht="21" thickTop="1" x14ac:dyDescent="0.25">
      <c r="A105" s="14" t="s">
        <v>157</v>
      </c>
      <c r="B105" s="1">
        <f t="shared" ref="B105:K105" si="28">((B22*(1-$T$91))+B77+B88-B81)</f>
        <v>-101107888.71450578</v>
      </c>
      <c r="C105" s="1">
        <f t="shared" si="28"/>
        <v>-157727080.24529892</v>
      </c>
      <c r="D105" s="1">
        <f t="shared" si="28"/>
        <v>-150654893.9750632</v>
      </c>
      <c r="E105" s="1">
        <f t="shared" si="28"/>
        <v>-208833188.94411021</v>
      </c>
      <c r="F105" s="1">
        <f t="shared" si="28"/>
        <v>-105743440.63707967</v>
      </c>
      <c r="G105" s="1">
        <f t="shared" si="28"/>
        <v>-149412592.8735432</v>
      </c>
      <c r="H105" s="1">
        <f t="shared" si="28"/>
        <v>-81420387.333972752</v>
      </c>
      <c r="I105" s="1">
        <f t="shared" si="28"/>
        <v>-12469401.284622326</v>
      </c>
      <c r="J105" s="1">
        <f t="shared" si="28"/>
        <v>63751820.414450541</v>
      </c>
      <c r="K105" s="1">
        <f t="shared" si="28"/>
        <v>81686446.914871976</v>
      </c>
      <c r="L105" s="1">
        <f>((L22*(1-$T$91))+L77+L88-L81)</f>
        <v>70652889.005144298</v>
      </c>
      <c r="M105" s="30">
        <f>L105*(1+$T$106)</f>
        <v>78601674.652311102</v>
      </c>
      <c r="N105" s="30">
        <f t="shared" ref="N105:Q105" si="29">M105*(1+$T$106)</f>
        <v>87444736.445213497</v>
      </c>
      <c r="O105" s="30">
        <f t="shared" si="29"/>
        <v>97282684.698474422</v>
      </c>
      <c r="P105" s="30">
        <f t="shared" si="29"/>
        <v>108227448.86505768</v>
      </c>
      <c r="Q105" s="30">
        <f t="shared" si="29"/>
        <v>120403550.99310248</v>
      </c>
      <c r="R105" s="28" t="s">
        <v>160</v>
      </c>
      <c r="S105" s="39" t="s">
        <v>106</v>
      </c>
      <c r="T105" s="40">
        <f>(T100*T92)+(T102*T97)</f>
        <v>7.3943881128261085E-2</v>
      </c>
    </row>
    <row r="106" spans="1:20" ht="19" x14ac:dyDescent="0.25">
      <c r="A106" s="14" t="s">
        <v>158</v>
      </c>
      <c r="B106" s="1"/>
      <c r="C106" s="15">
        <f t="shared" ref="C106:L106" si="30">(C107/B107)-1</f>
        <v>0.22348783954516738</v>
      </c>
      <c r="D106" s="15">
        <f t="shared" si="30"/>
        <v>-1.3795440243961066E-3</v>
      </c>
      <c r="E106" s="15">
        <f t="shared" si="30"/>
        <v>0.12722263961933389</v>
      </c>
      <c r="F106" s="15">
        <f t="shared" si="30"/>
        <v>-0.88408310697981096</v>
      </c>
      <c r="G106" s="15">
        <f t="shared" si="30"/>
        <v>-4.0913812291331766</v>
      </c>
      <c r="H106" s="15">
        <f t="shared" si="30"/>
        <v>-0.24495999999999996</v>
      </c>
      <c r="I106" s="15">
        <f t="shared" si="30"/>
        <v>-0.17079889807162529</v>
      </c>
      <c r="J106" s="15">
        <f t="shared" si="30"/>
        <v>4.7610529005877842</v>
      </c>
      <c r="K106" s="15">
        <f t="shared" si="30"/>
        <v>0.24390609058244239</v>
      </c>
      <c r="L106" s="15">
        <f t="shared" si="30"/>
        <v>0.2745362878960107</v>
      </c>
      <c r="M106" s="53">
        <v>272100000</v>
      </c>
      <c r="N106" s="53">
        <v>331700000</v>
      </c>
      <c r="O106" s="53">
        <v>387300000</v>
      </c>
      <c r="P106" s="53">
        <v>486800000</v>
      </c>
      <c r="Q106" s="53">
        <v>557400000</v>
      </c>
      <c r="R106" s="28" t="s">
        <v>161</v>
      </c>
      <c r="S106" s="41" t="s">
        <v>144</v>
      </c>
      <c r="T106" s="42">
        <f>(SUM(M4:Q4)/5)</f>
        <v>0.11250475046516573</v>
      </c>
    </row>
    <row r="107" spans="1:20" ht="19" x14ac:dyDescent="0.25">
      <c r="A107" s="52" t="s">
        <v>159</v>
      </c>
      <c r="B107" s="1">
        <v>-101312000</v>
      </c>
      <c r="C107" s="1">
        <v>-123954000</v>
      </c>
      <c r="D107" s="1">
        <v>-123783000</v>
      </c>
      <c r="E107" s="1">
        <v>-139531000</v>
      </c>
      <c r="F107" s="1">
        <v>-16174000</v>
      </c>
      <c r="G107" s="1">
        <v>50000000</v>
      </c>
      <c r="H107" s="1">
        <v>37752000</v>
      </c>
      <c r="I107" s="1">
        <v>31304000</v>
      </c>
      <c r="J107" s="1">
        <v>180344000</v>
      </c>
      <c r="K107" s="1">
        <v>224331000</v>
      </c>
      <c r="L107" s="1">
        <v>285918000</v>
      </c>
      <c r="M107" s="28"/>
      <c r="N107" s="28"/>
      <c r="O107" s="28"/>
      <c r="P107" s="28"/>
      <c r="Q107" s="64">
        <f>Q106*(1+T107)/(T108-T107)</f>
        <v>11673267154.739407</v>
      </c>
      <c r="R107" s="29" t="s">
        <v>145</v>
      </c>
      <c r="S107" s="43" t="s">
        <v>146</v>
      </c>
      <c r="T107" s="44">
        <v>2.5000000000000001E-2</v>
      </c>
    </row>
    <row r="108" spans="1:20" ht="19" x14ac:dyDescent="0.25">
      <c r="M108" s="64">
        <f t="shared" ref="M108:P108" si="31">M107+M106</f>
        <v>272100000</v>
      </c>
      <c r="N108" s="64">
        <f t="shared" si="31"/>
        <v>331700000</v>
      </c>
      <c r="O108" s="64">
        <f t="shared" si="31"/>
        <v>387300000</v>
      </c>
      <c r="P108" s="64">
        <f t="shared" si="31"/>
        <v>486800000</v>
      </c>
      <c r="Q108" s="64">
        <f>Q107+Q106</f>
        <v>12230667154.739407</v>
      </c>
      <c r="R108" s="29" t="s">
        <v>142</v>
      </c>
      <c r="S108" s="45" t="s">
        <v>147</v>
      </c>
      <c r="T108" s="42">
        <f>T105</f>
        <v>7.3943881128261085E-2</v>
      </c>
    </row>
    <row r="109" spans="1:20" ht="19" x14ac:dyDescent="0.25">
      <c r="M109" s="65" t="s">
        <v>148</v>
      </c>
      <c r="N109" s="65"/>
    </row>
    <row r="110" spans="1:20" ht="20" x14ac:dyDescent="0.25">
      <c r="M110" s="46" t="s">
        <v>149</v>
      </c>
      <c r="N110" s="37">
        <f>NPV(T108,M108,N108,O108,P108,Q108)</f>
        <v>9780943934.003828</v>
      </c>
    </row>
    <row r="111" spans="1:20" ht="20" x14ac:dyDescent="0.25">
      <c r="M111" s="46" t="s">
        <v>150</v>
      </c>
      <c r="N111" s="37">
        <f>L40</f>
        <v>461248000</v>
      </c>
    </row>
    <row r="112" spans="1:20" ht="20" x14ac:dyDescent="0.25">
      <c r="M112" s="46" t="s">
        <v>138</v>
      </c>
      <c r="N112" s="37">
        <f>T99</f>
        <v>564422000</v>
      </c>
    </row>
    <row r="113" spans="13:14" ht="20" x14ac:dyDescent="0.25">
      <c r="M113" s="46" t="s">
        <v>151</v>
      </c>
      <c r="N113" s="37">
        <f>N110+N111-N112</f>
        <v>9677769934.003828</v>
      </c>
    </row>
    <row r="114" spans="13:14" ht="20" x14ac:dyDescent="0.25">
      <c r="M114" s="46" t="s">
        <v>156</v>
      </c>
      <c r="N114" s="46">
        <f>L34*(1+(5*R16))</f>
        <v>180080225.64257261</v>
      </c>
    </row>
    <row r="115" spans="13:14" ht="20" x14ac:dyDescent="0.25">
      <c r="M115" s="47" t="s">
        <v>152</v>
      </c>
      <c r="N115" s="48">
        <f>N113/N114</f>
        <v>53.741436070901472</v>
      </c>
    </row>
    <row r="116" spans="13:14" ht="20" x14ac:dyDescent="0.25">
      <c r="M116" s="46" t="s">
        <v>153</v>
      </c>
      <c r="N116" s="49" cm="1">
        <f t="array" ref="N116">_FV(A1,"Price")</f>
        <v>28.92</v>
      </c>
    </row>
    <row r="117" spans="13:14" ht="20" x14ac:dyDescent="0.25">
      <c r="M117" s="47" t="s">
        <v>154</v>
      </c>
      <c r="N117" s="50">
        <f>N115/N116-1</f>
        <v>0.85827925556367446</v>
      </c>
    </row>
    <row r="118" spans="13:14" ht="20" x14ac:dyDescent="0.25">
      <c r="M118" s="47" t="s">
        <v>155</v>
      </c>
      <c r="N118" s="51" t="str">
        <f>IF(N115&gt;N116,"BUY","SELL")</f>
        <v>BUY</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 ref="R106" r:id="rId25" xr:uid="{6857DACD-76FF-8341-8C77-825E2B15C2A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2023-03-13T17:27:14Z</dcterms:created>
  <dcterms:modified xsi:type="dcterms:W3CDTF">2023-07-30T15:47:13Z</dcterms:modified>
</cp:coreProperties>
</file>