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6DE7E32-729C-2A42-B2F4-4B0B171976D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22" i="1" l="1"/>
  <c r="N22" i="1"/>
  <c r="M97" i="1"/>
  <c r="L19" i="1"/>
  <c r="M106" i="1"/>
  <c r="F105" i="1" s="1"/>
  <c r="G105" i="1" s="1"/>
  <c r="H105" i="1" s="1"/>
  <c r="I105" i="1" s="1"/>
  <c r="J105" i="1" s="1"/>
  <c r="L16" i="1"/>
  <c r="M103" i="1"/>
  <c r="M100" i="1" s="1"/>
  <c r="M16" i="1"/>
  <c r="N16" i="1"/>
  <c r="N19" i="1" l="1"/>
  <c r="M102" i="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<sst xmlns="http://schemas.openxmlformats.org/spreadsheetml/2006/main" count="268" uniqueCount="168">
  <si>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</si>
  <si>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</si>
  <si>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</si>
  <si>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</si>
  <si>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</si>
  <si>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</si>
  <si>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</si>
  <si>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</si>
  <si>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</si>
  <si>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</si>
  <si>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</si>
  <si>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</si>
  <si>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</si>
  <si>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</si>
  <si>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</si>
  <si>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</si>
  <si>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</si>
  <si>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</si>
  <si>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</si>
  <si>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</si>
  <si>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</si>
  <si>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</si>
  <si>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</si>
  <si>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</si>
  <si>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</si>
  <si>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</si>
  <si>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</si>
  <si>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</si>
  <si>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</si>
  <si>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</si>
  <si>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</si>
  <si>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</si>
  <si>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</si>
  <si>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</si>
  <si>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</si>
  <si>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</si>
  <si>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</si>
  <si>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</si>
  <si>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</si>
  <si>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</si>
  <si>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</si>
  <si>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</si>
  <si>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</si>
  <si>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</si>
  <si>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</si>
  <si>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</si>
  <si>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</si>
  <si>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</si>
  <si>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</si>
  <si>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</si>
  <si>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</si>
  <si>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</si>
  <si>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</si>
  <si>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</si>
  <si>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</si>
  <si>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</si>
  <si>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</si>
  <si>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</si>
  <si>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</si>
  <si>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</si>
  <si>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</si>
  <si>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</si>
  <si>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</si>
  <si>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</si>
  <si>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</si>
  <si>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</si>
  <si>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</si>
  <si>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</si>
  <si>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</si>
  <si>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</si>
  <si>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</si>
  <si>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</si>
  <si>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</si>
  <si>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</si>
  <si>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</si>
  <si>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</si>
  <si>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</si>
  <si>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</si>
  <si>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</si>
  <si>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</si>
  <si>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</si>
  <si>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</si>
  <si>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</si>
  <si>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</si>
  <si>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</si>
  <si>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</si>
  <si>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</si>
  <si>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</si>
  <si>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</si>
  <si>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</si>
  <si>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</si>
  <si>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</si>
  <si>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</si>
  <si>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</si>
  <si>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</si>
  <si>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</si>
  <si>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</si>
  <si>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</si>
  <si>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</si>
  <si>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</si>
  <si>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</si>
  <si>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</si>
  <si>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</si>
  <si>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</si>
  <si>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</si>
  <si>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</si>
  <si>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</si>
  <si>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</si>
  <si>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</si>
  <si>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</si>
  <si>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</si>
  <si>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</si>
  <si>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</si>
  <si>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</si>
  <si>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</si>
  <si>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</si>
  <si>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</si>
  <si>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</si>
  <si>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</si>
  <si>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</si>
  <si>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</si>
  <si>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</si>
  <si>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</si>
  <si>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</si>
  <si>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</si>
  <si>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</si>
  <si>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</si>
  <si>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</si>
  <si>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</si>
  <si>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</si>
  <si>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</si>
  <si>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</si>
  <si>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</si>
  <si>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</si>
  <si>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</si>
  <si>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</si>
  <si>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</si>
  <si>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</si>
  <si>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</si>
  <si>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</si>
  <si>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</si>
  <si>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</si>
  <si>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</si>
  <si>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</si>
  <si>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</si>
  <si>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</si>
  <si>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</si>
  <si>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</si>
  <si>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</si>
  <si>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</si>
  <si>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</si>
  <si>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</si>
  <si>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</si>
  <si>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</si>
  <si>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</si>
  <si>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</si>
  <si>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</si>
  <si>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</si>
  <si>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</si>
  <si>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</si>
  <si>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</si>
  <si>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</si>
  <si>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</si>
  <si>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</si>
  <si>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</si>
  <si>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Dividend Yield</t>
  </si>
  <si>
    <t>FCF Yield</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</si>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</sst>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996642155267776E-2"/>
          <c:y val="0.14547301406968907"/>
          <c:w val="0.86778848181167423"/>
          <c:h val="0.73389282707049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123</xdr:row>
      <xdr:rowOff>31750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16.600000000000001</v>
    <v>2.5449999999999999</v>
    <v>0.77</v>
    <v>2.1359E-2</v>
    <v>-0.32</v>
    <v>-8.6909999999999991E-3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37.86</v>
    <v>Software &amp; IT Services</v>
    <v>Stock</v>
    <v>45132.963471249997</v>
    <v>0</v>
    <v>36.340000000000003</v>
    <v>10903580240</v>
    <v>CONFLUENT, INC.</v>
    <v>CONFLUENT, INC.</v>
    <v>36.340000000000003</v>
    <v>36.049999999999997</v>
    <v>36.82</v>
    <v>36.5</v>
    <v>296132000</v>
    <v>CFLT</v>
    <v>CONFLUENT, INC. (XNAS:CFLT)</v>
    <v>2747028</v>
    <v>4032823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2" activePane="bottomRight" state="frozen"/>
      <selection pane="topRight"/>
      <selection pane="bottomLeft"/>
      <selection pane="bottomRight" activeCell="G97" sqref="G9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762900000</v>
      </c>
      <c r="G3" s="24">
        <v>979400000</v>
      </c>
      <c r="H3" s="24">
        <v>1248000000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0.28378555511862635</v>
      </c>
      <c r="H4" s="16">
        <f t="shared" si="0"/>
        <v>0.27424954053502137</v>
      </c>
      <c r="I4" s="16">
        <f t="shared" si="0"/>
        <v>0.18669871794871784</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4">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(E35+D35+C35+B35)/4</f>
        <v>7.994672062666941E-2</v>
      </c>
      <c r="L16" s="32">
        <f>M101/E3</f>
        <v>18.608570511857788</v>
      </c>
      <c r="M16" s="32">
        <f>M101/E28</f>
        <v>-24.093594401514967</v>
      </c>
      <c r="N16" s="33">
        <f>M101/E107</f>
        <v>-63.471140242624628</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30">
        <v>-89920000</v>
      </c>
      <c r="G19" s="30">
        <v>54000000</v>
      </c>
      <c r="H19" s="30">
        <v>124000000</v>
      </c>
      <c r="I19" s="30">
        <v>184000000</v>
      </c>
      <c r="J19" s="30">
        <v>313000000</v>
      </c>
      <c r="K19" s="26">
        <f>E40-E56-E61</f>
        <v>809814000</v>
      </c>
      <c r="L19" s="32">
        <f>M101/F3</f>
        <v>14.292279774544502</v>
      </c>
      <c r="M19" s="35">
        <f>M101/F28</f>
        <v>-222.52204571428572</v>
      </c>
      <c r="N19" s="33">
        <f>M101/F105</f>
        <v>-24.43649772708908</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-1.6005338078291815</v>
      </c>
      <c r="H20" s="16">
        <f t="shared" si="3"/>
        <v>1.2962962962962963</v>
      </c>
      <c r="I20" s="16">
        <f t="shared" si="3"/>
        <v>0.4838709677419355</v>
      </c>
      <c r="J20" s="16">
        <f t="shared" si="3"/>
        <v>0.70108695652173902</v>
      </c>
    </row>
    <row r="21" spans="1:14" ht="20" x14ac:dyDescent="0.25">
      <c r="A21" s="5" t="s">
        <v>15</v>
      </c>
      <c r="B21" s="2">
        <v>-0.62639999999999996</v>
      </c>
      <c r="C21" s="2">
        <v>-0.9657</v>
      </c>
      <c r="D21" s="2">
        <v>-0.86629999999999996</v>
      </c>
      <c r="E21" s="2">
        <v>-0.76380000000000003</v>
      </c>
      <c r="F21" s="31">
        <f>F19/F3</f>
        <v>-0.11786603748853061</v>
      </c>
      <c r="G21" s="31">
        <f t="shared" ref="G21:J21" si="4">G19/G3</f>
        <v>5.5135797426996119E-2</v>
      </c>
      <c r="H21" s="31">
        <f t="shared" si="4"/>
        <v>9.9358974358974353E-2</v>
      </c>
      <c r="I21" s="31">
        <f t="shared" si="4"/>
        <v>0.12424037812288993</v>
      </c>
      <c r="J21" s="31">
        <f t="shared" si="4"/>
        <v>0.17437325905292478</v>
      </c>
      <c r="M21" s="19" t="s">
        <v>165</v>
      </c>
      <c r="N21" s="20" t="s">
        <v>166</v>
      </c>
    </row>
    <row r="22" spans="1:14" ht="19" x14ac:dyDescent="0.25">
      <c r="A22" s="6" t="s">
        <v>16</v>
      </c>
      <c r="B22" s="10">
        <v>-98108000</v>
      </c>
      <c r="C22" s="10">
        <v>-233175000</v>
      </c>
      <c r="D22" s="10">
        <v>-339620000</v>
      </c>
      <c r="E22" s="10">
        <v>-462674000</v>
      </c>
      <c r="M22" s="41">
        <f>(-1*E98)/M101</f>
        <v>0</v>
      </c>
      <c r="N22" s="42">
        <f>E107/M101</f>
        <v>-1.5755191984536631E-2</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8">
        <v>-49000000</v>
      </c>
      <c r="G28" s="38">
        <v>27000000</v>
      </c>
      <c r="H28" s="38">
        <v>119000000</v>
      </c>
      <c r="I28" s="38">
        <v>155000000</v>
      </c>
      <c r="J28" s="38">
        <v>213000000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-0.89172491056256642</v>
      </c>
      <c r="G29" s="16">
        <f t="shared" si="5"/>
        <v>-1.5510204081632653</v>
      </c>
      <c r="H29" s="16">
        <f t="shared" si="5"/>
        <v>3.4074074074074074</v>
      </c>
      <c r="I29" s="16">
        <f t="shared" si="5"/>
        <v>0.30252100840336138</v>
      </c>
      <c r="J29" s="16">
        <f t="shared" si="5"/>
        <v>0.37419354838709684</v>
      </c>
    </row>
    <row r="30" spans="1:14" ht="19" x14ac:dyDescent="0.25">
      <c r="A30" s="5" t="s">
        <v>23</v>
      </c>
      <c r="B30" s="2">
        <v>-0.63439999999999996</v>
      </c>
      <c r="C30" s="2">
        <v>-0.97150000000000003</v>
      </c>
      <c r="D30" s="2">
        <v>-0.88380000000000003</v>
      </c>
      <c r="E30" s="2">
        <v>-0.77229999999999999</v>
      </c>
      <c r="F30" s="31">
        <f>F28/F3</f>
        <v>-6.422860138943505E-2</v>
      </c>
      <c r="G30" s="31">
        <f t="shared" ref="G30:J30" si="6">G28/G3</f>
        <v>2.756789871349806E-2</v>
      </c>
      <c r="H30" s="31">
        <f t="shared" si="6"/>
        <v>9.5352564102564097E-2</v>
      </c>
      <c r="I30" s="31">
        <f t="shared" si="6"/>
        <v>0.10465901417960838</v>
      </c>
      <c r="J30" s="31">
        <f t="shared" si="6"/>
        <v>0.11866295264623955</v>
      </c>
    </row>
    <row r="31" spans="1:14" ht="19" x14ac:dyDescent="0.25">
      <c r="A31" s="5" t="s">
        <v>24</v>
      </c>
      <c r="B31" s="12">
        <v>-0.42</v>
      </c>
      <c r="C31" s="12">
        <v>-1.1399999999999999</v>
      </c>
      <c r="D31" s="12">
        <v>-1.82</v>
      </c>
      <c r="E31" s="12">
        <v>-1.62</v>
      </c>
      <c r="F31" s="39">
        <v>-0.17</v>
      </c>
      <c r="G31" s="39">
        <v>0.18</v>
      </c>
      <c r="H31" s="39">
        <v>0.4</v>
      </c>
      <c r="I31" s="39">
        <v>0.55000000000000004</v>
      </c>
      <c r="J31" s="39">
        <v>0.72</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5" t="s">
        <v>124</v>
      </c>
      <c r="M83" s="66"/>
    </row>
    <row r="84" spans="1:13" ht="19" x14ac:dyDescent="0.25">
      <c r="A84" s="5" t="s">
        <v>47</v>
      </c>
      <c r="B84" s="1">
        <v>1511000</v>
      </c>
      <c r="C84" s="1">
        <v>-327000</v>
      </c>
      <c r="D84" s="1">
        <v>6143000</v>
      </c>
      <c r="E84" s="1">
        <v>13580000</v>
      </c>
      <c r="L84" s="67" t="s">
        <v>125</v>
      </c>
      <c r="M84" s="67"/>
    </row>
    <row r="85" spans="1:13" ht="20" x14ac:dyDescent="0.25">
      <c r="A85" s="5" t="s">
        <v>71</v>
      </c>
      <c r="B85" s="1">
        <v>21312000</v>
      </c>
      <c r="C85" s="1">
        <v>25948000</v>
      </c>
      <c r="D85" s="1">
        <v>29361000</v>
      </c>
      <c r="E85" s="1" t="s">
        <v>91</v>
      </c>
      <c r="L85" s="43" t="s">
        <v>126</v>
      </c>
      <c r="M85" s="44">
        <f>E17</f>
        <v>0</v>
      </c>
    </row>
    <row r="86" spans="1:13" ht="20" x14ac:dyDescent="0.25">
      <c r="A86" s="5" t="s">
        <v>72</v>
      </c>
      <c r="B86" s="1">
        <v>8399000</v>
      </c>
      <c r="C86" s="1">
        <v>29944000</v>
      </c>
      <c r="D86" s="1">
        <v>55262000</v>
      </c>
      <c r="E86" s="1" t="s">
        <v>91</v>
      </c>
      <c r="L86" s="43" t="s">
        <v>127</v>
      </c>
      <c r="M86" s="44">
        <f>E56</f>
        <v>7375000</v>
      </c>
    </row>
    <row r="87" spans="1:13" ht="20" x14ac:dyDescent="0.25">
      <c r="A87" s="6" t="s">
        <v>73</v>
      </c>
      <c r="B87" s="10">
        <v>-68834000</v>
      </c>
      <c r="C87" s="10">
        <v>-82057000</v>
      </c>
      <c r="D87" s="10">
        <v>-105060000</v>
      </c>
      <c r="E87" s="10">
        <v>-157333000</v>
      </c>
      <c r="L87" s="43" t="s">
        <v>128</v>
      </c>
      <c r="M87" s="44">
        <f>E61</f>
        <v>1109636000</v>
      </c>
    </row>
    <row r="88" spans="1:13" ht="20" x14ac:dyDescent="0.25">
      <c r="A88" s="5" t="s">
        <v>74</v>
      </c>
      <c r="B88" s="1">
        <v>-1954000</v>
      </c>
      <c r="C88" s="1">
        <v>-1040000</v>
      </c>
      <c r="D88" s="1">
        <v>-3600000</v>
      </c>
      <c r="E88" s="1">
        <v>-4121000</v>
      </c>
      <c r="L88" s="45" t="s">
        <v>129</v>
      </c>
      <c r="M88" s="46">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43" t="s">
        <v>105</v>
      </c>
      <c r="M89" s="44">
        <f>E27</f>
        <v>6293000</v>
      </c>
    </row>
    <row r="90" spans="1:13" ht="20" x14ac:dyDescent="0.25">
      <c r="A90" s="5" t="s">
        <v>75</v>
      </c>
      <c r="B90" s="1" t="s">
        <v>91</v>
      </c>
      <c r="C90" s="1" t="s">
        <v>91</v>
      </c>
      <c r="D90" s="1" t="s">
        <v>91</v>
      </c>
      <c r="E90" s="1" t="s">
        <v>91</v>
      </c>
      <c r="L90" s="43" t="s">
        <v>19</v>
      </c>
      <c r="M90" s="44">
        <f>E25</f>
        <v>-446258000</v>
      </c>
    </row>
    <row r="91" spans="1:13" ht="20" x14ac:dyDescent="0.25">
      <c r="A91" s="5" t="s">
        <v>76</v>
      </c>
      <c r="B91" s="1">
        <v>-65978000</v>
      </c>
      <c r="C91" s="1">
        <v>-329616000</v>
      </c>
      <c r="D91" s="1">
        <v>-663595000</v>
      </c>
      <c r="E91" s="1">
        <v>-2051908000</v>
      </c>
      <c r="L91" s="45" t="s">
        <v>130</v>
      </c>
      <c r="M91" s="46">
        <f>M89/M90</f>
        <v>-1.4101707980585222E-2</v>
      </c>
    </row>
    <row r="92" spans="1:13" ht="20" x14ac:dyDescent="0.25">
      <c r="A92" s="5" t="s">
        <v>77</v>
      </c>
      <c r="B92" s="1">
        <v>104248000</v>
      </c>
      <c r="C92" s="1">
        <v>157407000</v>
      </c>
      <c r="D92" s="1">
        <v>271942000</v>
      </c>
      <c r="E92" s="1">
        <v>1200558000</v>
      </c>
      <c r="L92" s="45" t="s">
        <v>131</v>
      </c>
      <c r="M92" s="46">
        <f>M88*(1-M91)</f>
        <v>0</v>
      </c>
    </row>
    <row r="93" spans="1:13" ht="19" x14ac:dyDescent="0.25">
      <c r="A93" s="5" t="s">
        <v>78</v>
      </c>
      <c r="B93" s="1">
        <v>-675000</v>
      </c>
      <c r="C93" s="1">
        <v>-3610000</v>
      </c>
      <c r="D93" s="1">
        <v>-5330000</v>
      </c>
      <c r="E93" s="1">
        <v>-10334000</v>
      </c>
      <c r="L93" s="67" t="s">
        <v>132</v>
      </c>
      <c r="M93" s="67"/>
    </row>
    <row r="94" spans="1:13" ht="20" x14ac:dyDescent="0.25">
      <c r="A94" s="6" t="s">
        <v>79</v>
      </c>
      <c r="B94" s="10">
        <v>35641000</v>
      </c>
      <c r="C94" s="10">
        <v>-176859000</v>
      </c>
      <c r="D94" s="10">
        <v>-400583000</v>
      </c>
      <c r="E94" s="10">
        <v>-865805000</v>
      </c>
      <c r="L94" s="43" t="s">
        <v>133</v>
      </c>
      <c r="M94" s="47">
        <f>[1]Treasuries!$C$8</f>
        <v>3.9120000000000002E-2</v>
      </c>
    </row>
    <row r="95" spans="1:13" ht="20" x14ac:dyDescent="0.25">
      <c r="A95" s="5" t="s">
        <v>80</v>
      </c>
      <c r="B95" s="1" t="s">
        <v>91</v>
      </c>
      <c r="C95" s="1" t="s">
        <v>91</v>
      </c>
      <c r="D95" s="1" t="s">
        <v>91</v>
      </c>
      <c r="E95" s="1" t="s">
        <v>91</v>
      </c>
      <c r="L95" s="43" t="s">
        <v>134</v>
      </c>
      <c r="M95" s="48" cm="1">
        <f t="array" ref="M95">_FV(A1,"Beta")</f>
        <v>2.5449999999999999</v>
      </c>
    </row>
    <row r="96" spans="1:13" ht="20" x14ac:dyDescent="0.25">
      <c r="A96" s="5" t="s">
        <v>81</v>
      </c>
      <c r="B96" s="1" t="s">
        <v>91</v>
      </c>
      <c r="C96" s="1" t="s">
        <v>91</v>
      </c>
      <c r="D96" s="1">
        <v>786600000</v>
      </c>
      <c r="E96" s="1" t="s">
        <v>91</v>
      </c>
      <c r="L96" s="43" t="s">
        <v>135</v>
      </c>
      <c r="M96" s="47">
        <v>8.4000000000000005E-2</v>
      </c>
    </row>
    <row r="97" spans="1:13" ht="20" x14ac:dyDescent="0.25">
      <c r="A97" s="5" t="s">
        <v>82</v>
      </c>
      <c r="B97" s="1" t="s">
        <v>91</v>
      </c>
      <c r="C97" s="1" t="s">
        <v>91</v>
      </c>
      <c r="D97" s="1" t="s">
        <v>91</v>
      </c>
      <c r="E97" s="1" t="s">
        <v>91</v>
      </c>
      <c r="L97" s="45" t="s">
        <v>136</v>
      </c>
      <c r="M97" s="46">
        <f>(M94)+((M95)*(M96-M94))</f>
        <v>0.15333960000000002</v>
      </c>
    </row>
    <row r="98" spans="1:13" ht="19" x14ac:dyDescent="0.25">
      <c r="A98" s="5" t="s">
        <v>83</v>
      </c>
      <c r="B98" s="1" t="s">
        <v>91</v>
      </c>
      <c r="C98" s="1" t="s">
        <v>91</v>
      </c>
      <c r="D98" s="1" t="s">
        <v>91</v>
      </c>
      <c r="E98" s="1">
        <v>0</v>
      </c>
      <c r="L98" s="67" t="s">
        <v>137</v>
      </c>
      <c r="M98" s="67"/>
    </row>
    <row r="99" spans="1:13" ht="20" x14ac:dyDescent="0.25">
      <c r="A99" s="5" t="s">
        <v>84</v>
      </c>
      <c r="B99" s="1">
        <v>13432000</v>
      </c>
      <c r="C99" s="1">
        <v>276758000</v>
      </c>
      <c r="D99" s="1">
        <v>1057914000</v>
      </c>
      <c r="E99" s="1">
        <v>82241000</v>
      </c>
      <c r="L99" s="43" t="s">
        <v>138</v>
      </c>
      <c r="M99" s="44">
        <f>M86+M87</f>
        <v>1117011000</v>
      </c>
    </row>
    <row r="100" spans="1:13" ht="20" x14ac:dyDescent="0.25">
      <c r="A100" s="6" t="s">
        <v>85</v>
      </c>
      <c r="B100" s="10">
        <v>13432000</v>
      </c>
      <c r="C100" s="10">
        <v>276758000</v>
      </c>
      <c r="D100" s="10">
        <v>1844514000</v>
      </c>
      <c r="E100" s="10">
        <v>82241000</v>
      </c>
      <c r="L100" s="45" t="s">
        <v>139</v>
      </c>
      <c r="M100" s="46">
        <f>M99/M103</f>
        <v>9.2924796933698914E-2</v>
      </c>
    </row>
    <row r="101" spans="1:13" ht="20" x14ac:dyDescent="0.25">
      <c r="A101" s="5" t="s">
        <v>86</v>
      </c>
      <c r="B101" s="1">
        <v>-85000</v>
      </c>
      <c r="C101" s="1">
        <v>-7000</v>
      </c>
      <c r="D101" s="1">
        <v>5000</v>
      </c>
      <c r="E101" s="1">
        <v>-4000</v>
      </c>
      <c r="L101" s="43" t="s">
        <v>140</v>
      </c>
      <c r="M101" s="49" cm="1">
        <f t="array" ref="M101">_FV(A1,"Market cap",TRUE)</f>
        <v>10903580240</v>
      </c>
    </row>
    <row r="102" spans="1:13" ht="20" x14ac:dyDescent="0.25">
      <c r="A102" s="6" t="s">
        <v>87</v>
      </c>
      <c r="B102" s="10">
        <v>-19846000</v>
      </c>
      <c r="C102" s="10">
        <v>17835000</v>
      </c>
      <c r="D102" s="10">
        <v>1338876000</v>
      </c>
      <c r="E102" s="10">
        <v>-940901000</v>
      </c>
      <c r="L102" s="45" t="s">
        <v>141</v>
      </c>
      <c r="M102" s="46">
        <f>M101/M103</f>
        <v>0.90707520306630107</v>
      </c>
    </row>
    <row r="103" spans="1:13" ht="20" x14ac:dyDescent="0.25">
      <c r="A103" s="5" t="s">
        <v>88</v>
      </c>
      <c r="B103" s="1">
        <v>39817000</v>
      </c>
      <c r="C103" s="1">
        <v>19971000</v>
      </c>
      <c r="D103" s="1">
        <v>37806000</v>
      </c>
      <c r="E103" s="1">
        <v>1376682000</v>
      </c>
      <c r="L103" s="45" t="s">
        <v>142</v>
      </c>
      <c r="M103" s="50">
        <f>M99+M101</f>
        <v>12020591240</v>
      </c>
    </row>
    <row r="104" spans="1:13" ht="20" thickBot="1" x14ac:dyDescent="0.3">
      <c r="A104" s="7" t="s">
        <v>89</v>
      </c>
      <c r="B104" s="11">
        <v>19971000</v>
      </c>
      <c r="C104" s="11">
        <v>37806000</v>
      </c>
      <c r="D104" s="11">
        <v>1376682000</v>
      </c>
      <c r="E104" s="11">
        <v>435781000</v>
      </c>
      <c r="L104" s="67" t="s">
        <v>143</v>
      </c>
      <c r="M104" s="67"/>
    </row>
    <row r="105" spans="1:13" ht="21" thickTop="1" x14ac:dyDescent="0.25">
      <c r="A105" s="14" t="s">
        <v>160</v>
      </c>
      <c r="B105" s="1">
        <f t="shared" ref="B105:D105" si="10">(B22*(1-0.2))+B77+B88+B81</f>
        <v>-80854400</v>
      </c>
      <c r="C105" s="1">
        <f t="shared" si="10"/>
        <v>-211759000</v>
      </c>
      <c r="D105" s="1">
        <f t="shared" si="10"/>
        <v>-249776000</v>
      </c>
      <c r="E105" s="1">
        <f>(E22*(1-0.2))+E77+E88+E81</f>
        <v>-356461200</v>
      </c>
      <c r="F105" s="27">
        <f>E105*(1+$M$106)</f>
        <v>-446200611.9605608</v>
      </c>
      <c r="G105" s="27">
        <f t="shared" ref="G105:J105" si="11">F105*(1+$M$106)</f>
        <v>-558531997.6310997</v>
      </c>
      <c r="H105" s="27">
        <f t="shared" si="11"/>
        <v>-699142905.71470666</v>
      </c>
      <c r="I105" s="27">
        <f t="shared" si="11"/>
        <v>-875152730.16470456</v>
      </c>
      <c r="J105" s="27">
        <f t="shared" si="11"/>
        <v>-1095473178.4509695</v>
      </c>
      <c r="K105" s="28" t="s">
        <v>163</v>
      </c>
      <c r="L105" s="51" t="s">
        <v>106</v>
      </c>
      <c r="M105" s="52">
        <f>(M100*M92)+(M102*M97)</f>
        <v>0.1390905488081054</v>
      </c>
    </row>
    <row r="106" spans="1:13" ht="19" x14ac:dyDescent="0.25">
      <c r="A106" s="14" t="s">
        <v>161</v>
      </c>
      <c r="B106" s="1"/>
      <c r="C106" s="15">
        <f>(C107/B107)-1</f>
        <v>0.2082410155651242</v>
      </c>
      <c r="D106" s="15">
        <f>(D107/C107)-1</f>
        <v>0.31479580656694384</v>
      </c>
      <c r="E106" s="15">
        <f>(E107/D107)-1</f>
        <v>0.5068858441079982</v>
      </c>
      <c r="F106" s="36">
        <v>-65000000</v>
      </c>
      <c r="G106" s="36">
        <v>58000000</v>
      </c>
      <c r="H106" s="36">
        <v>152000000</v>
      </c>
      <c r="I106" s="36">
        <v>192000000</v>
      </c>
      <c r="J106" s="36">
        <v>318000000</v>
      </c>
      <c r="K106" s="28" t="s">
        <v>164</v>
      </c>
      <c r="L106" s="53" t="s">
        <v>144</v>
      </c>
      <c r="M106" s="54">
        <f>(SUM(F4:J4)/5)</f>
        <v>0.25175085524191926</v>
      </c>
    </row>
    <row r="107" spans="1:13" ht="19" x14ac:dyDescent="0.25">
      <c r="A107" s="40" t="s">
        <v>162</v>
      </c>
      <c r="B107" s="1">
        <v>-71763000</v>
      </c>
      <c r="C107" s="1">
        <v>-86707000</v>
      </c>
      <c r="D107" s="1">
        <v>-114002000</v>
      </c>
      <c r="E107" s="1">
        <v>-171788000</v>
      </c>
      <c r="F107" s="28"/>
      <c r="G107" s="28"/>
      <c r="H107" s="28"/>
      <c r="I107" s="28"/>
      <c r="J107" s="37">
        <f>J106*(1+M107)/(M108-M107)</f>
        <v>2856941292.7290902</v>
      </c>
      <c r="K107" s="29" t="s">
        <v>145</v>
      </c>
      <c r="L107" s="55" t="s">
        <v>146</v>
      </c>
      <c r="M107" s="56">
        <v>2.5000000000000001E-2</v>
      </c>
    </row>
    <row r="108" spans="1:13" ht="19" x14ac:dyDescent="0.25">
      <c r="F108" s="37">
        <f t="shared" ref="F108:I108" si="12">F107+F106</f>
        <v>-65000000</v>
      </c>
      <c r="G108" s="37">
        <f t="shared" si="12"/>
        <v>58000000</v>
      </c>
      <c r="H108" s="37">
        <f t="shared" si="12"/>
        <v>152000000</v>
      </c>
      <c r="I108" s="37">
        <f t="shared" si="12"/>
        <v>192000000</v>
      </c>
      <c r="J108" s="37">
        <f>J107+J106</f>
        <v>3174941292.7290902</v>
      </c>
      <c r="K108" s="29" t="s">
        <v>142</v>
      </c>
      <c r="L108" s="57" t="s">
        <v>147</v>
      </c>
      <c r="M108" s="54">
        <f>M105</f>
        <v>0.1390905488081054</v>
      </c>
    </row>
    <row r="109" spans="1:13" ht="19" x14ac:dyDescent="0.25">
      <c r="F109" s="64" t="s">
        <v>148</v>
      </c>
      <c r="G109" s="64"/>
    </row>
    <row r="110" spans="1:13" ht="20" x14ac:dyDescent="0.25">
      <c r="F110" s="58" t="s">
        <v>149</v>
      </c>
      <c r="G110" s="49">
        <f>NPV(M108,F108,G108,H108,I108,J108)</f>
        <v>1860080057.8238208</v>
      </c>
    </row>
    <row r="111" spans="1:13" ht="20" x14ac:dyDescent="0.25">
      <c r="F111" s="58" t="s">
        <v>150</v>
      </c>
      <c r="G111" s="49">
        <f>E40</f>
        <v>1926825000</v>
      </c>
    </row>
    <row r="112" spans="1:13" ht="20" x14ac:dyDescent="0.25">
      <c r="F112" s="58" t="s">
        <v>138</v>
      </c>
      <c r="G112" s="49">
        <f>M99</f>
        <v>1117011000</v>
      </c>
    </row>
    <row r="113" spans="6:7" ht="20" x14ac:dyDescent="0.25">
      <c r="F113" s="58" t="s">
        <v>151</v>
      </c>
      <c r="G113" s="49">
        <f>G110+G111-G112</f>
        <v>2669894057.8238211</v>
      </c>
    </row>
    <row r="114" spans="6:7" ht="20" x14ac:dyDescent="0.25">
      <c r="F114" s="58" t="s">
        <v>167</v>
      </c>
      <c r="G114" s="58">
        <f>E34*(1+(5*0))</f>
        <v>280080357</v>
      </c>
    </row>
    <row r="115" spans="6:7" ht="20" x14ac:dyDescent="0.25">
      <c r="F115" s="59" t="s">
        <v>152</v>
      </c>
      <c r="G115" s="60">
        <f>G113/G114</f>
        <v>9.5326001666865245</v>
      </c>
    </row>
    <row r="116" spans="6:7" ht="20" x14ac:dyDescent="0.25">
      <c r="F116" s="58" t="s">
        <v>153</v>
      </c>
      <c r="G116" s="61" cm="1">
        <f t="array" ref="G116">_FV(A1,"Price")</f>
        <v>36.82</v>
      </c>
    </row>
    <row r="117" spans="6:7" ht="20" x14ac:dyDescent="0.25">
      <c r="F117" s="59" t="s">
        <v>154</v>
      </c>
      <c r="G117" s="62">
        <f>G115/G116-1</f>
        <v>-0.74110265706989342</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2023-01-31T18:58:47Z</dcterms:created>
  <dcterms:modified xsi:type="dcterms:W3CDTF">2023-07-29T06:14:08Z</dcterms:modified>
</cp:coreProperties>
</file>