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C192F69-2B0B-7E4D-B8DB-989E2E0A160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I108" i="1" l="1"/>
  <c r="J108" i="1"/>
  <c r="K108" i="1"/>
  <c r="L108" i="1"/>
  <c r="B105" i="1"/>
  <c r="C105" i="1"/>
  <c r="D105" i="1"/>
  <c r="E105" i="1"/>
  <c r="F105" i="1"/>
  <c r="G105" i="1"/>
  <c r="H105" i="1"/>
  <c r="J111" i="1"/>
  <c r="P90" i="1"/>
  <c r="P89" i="1"/>
  <c r="P87" i="1"/>
  <c r="P85" i="1"/>
  <c r="P86" i="1"/>
  <c r="N19" i="1"/>
  <c r="J30" i="1"/>
  <c r="K30" i="1"/>
  <c r="L30" i="1"/>
  <c r="M30" i="1"/>
  <c r="I30" i="1"/>
  <c r="J21" i="1"/>
  <c r="K21" i="1"/>
  <c r="L21" i="1"/>
  <c r="M21" i="1"/>
  <c r="I21" i="1"/>
  <c r="I29" i="1"/>
  <c r="J29" i="1"/>
  <c r="K29" i="1"/>
  <c r="L29" i="1"/>
  <c r="M29" i="1"/>
  <c r="I20" i="1"/>
  <c r="J20" i="1"/>
  <c r="K20" i="1"/>
  <c r="L20" i="1"/>
  <c r="M20" i="1"/>
  <c r="N16" i="1"/>
  <c r="P13" i="1"/>
  <c r="O13" i="1"/>
  <c r="N13" i="1"/>
  <c r="Q10" i="1"/>
  <c r="P10" i="1"/>
  <c r="O10" i="1"/>
  <c r="N10" i="1"/>
  <c r="Q7" i="1"/>
  <c r="P7" i="1"/>
  <c r="O7" i="1"/>
  <c r="N7" i="1"/>
  <c r="P4" i="1"/>
  <c r="O4" i="1"/>
  <c r="N4" i="1"/>
  <c r="H106" i="1"/>
  <c r="H89" i="1"/>
  <c r="H80" i="1"/>
  <c r="H35" i="1"/>
  <c r="H29" i="1"/>
  <c r="H20" i="1"/>
  <c r="H13" i="1"/>
  <c r="H9" i="1"/>
  <c r="H4" i="1"/>
  <c r="J114" i="1"/>
  <c r="J116" i="1" a="1"/>
  <c r="J116" i="1" s="1"/>
  <c r="P101" i="1" a="1"/>
  <c r="P101" i="1" s="1"/>
  <c r="P95" i="1" a="1"/>
  <c r="P95" i="1" s="1"/>
  <c r="Q16" i="1" l="1"/>
  <c r="Q22" i="1"/>
  <c r="P22" i="1"/>
  <c r="O19" i="1"/>
  <c r="P19" i="1"/>
  <c r="Q19" i="1"/>
  <c r="O16" i="1"/>
  <c r="P16" i="1"/>
  <c r="P91" i="1"/>
  <c r="P99" i="1"/>
  <c r="J112" i="1" s="1"/>
  <c r="P88" i="1" l="1"/>
  <c r="P92" i="1" s="1"/>
  <c r="P103" i="1"/>
  <c r="P102" i="1" s="1"/>
  <c r="P100" i="1" l="1"/>
  <c r="Q13" i="1" l="1"/>
  <c r="M4" i="1" l="1"/>
  <c r="L4" i="1"/>
  <c r="K4" i="1"/>
  <c r="J4" i="1"/>
  <c r="P106" i="1"/>
  <c r="I105" i="1" s="1"/>
  <c r="J105" i="1" s="1"/>
  <c r="K105" i="1" s="1"/>
  <c r="L105" i="1" s="1"/>
  <c r="M105" i="1" s="1"/>
  <c r="G106" i="1"/>
  <c r="Q4" i="1" s="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P94" i="1" l="1"/>
  <c r="P97" i="1" s="1"/>
  <c r="P105" i="1" s="1"/>
  <c r="P108" i="1" s="1"/>
  <c r="M107" i="1" l="1"/>
  <c r="M108" i="1" s="1"/>
  <c r="J110" i="1"/>
  <c r="J113" i="1" s="1"/>
  <c r="J115" i="1" s="1"/>
  <c r="J118" i="1" l="1"/>
  <c r="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<sst xmlns="http://schemas.openxmlformats.org/spreadsheetml/2006/main" count="334" uniqueCount="167">
  <si>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</si>
  <si>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</si>
  <si>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</si>
  <si>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</si>
  <si>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</si>
  <si>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</si>
  <si>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</si>
  <si>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</si>
  <si>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</si>
  <si>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</si>
  <si>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</si>
  <si>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</si>
  <si>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</si>
  <si>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</si>
  <si>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</si>
  <si>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</si>
  <si>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</si>
  <si>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</si>
  <si>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</si>
  <si>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</si>
  <si>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</si>
  <si>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</si>
  <si>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</si>
  <si>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</si>
  <si>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</si>
  <si>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</si>
  <si>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</si>
  <si>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</si>
  <si>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</si>
  <si>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</si>
  <si>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</si>
  <si>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</si>
  <si>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</si>
  <si>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</si>
  <si>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</si>
  <si>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</si>
  <si>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</si>
  <si>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</si>
  <si>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</si>
  <si>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</si>
  <si>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</si>
  <si>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</si>
  <si>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</si>
  <si>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</si>
  <si>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</si>
  <si>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</si>
  <si>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</si>
  <si>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</si>
  <si>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</si>
  <si>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</si>
  <si>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</si>
  <si>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</si>
  <si>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</si>
  <si>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</si>
  <si>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</si>
  <si>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</si>
  <si>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</si>
  <si>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</si>
  <si>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</si>
  <si>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</si>
  <si>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</si>
  <si>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</si>
  <si>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</si>
  <si>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</si>
  <si>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</si>
  <si>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</si>
  <si>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</si>
  <si>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</si>
  <si>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</si>
  <si>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</si>
  <si>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</si>
  <si>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</si>
  <si>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</si>
  <si>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</si>
  <si>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</si>
  <si>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</si>
  <si>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</si>
  <si>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</si>
  <si>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</si>
  <si>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</si>
  <si>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</si>
  <si>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</si>
  <si>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</si>
  <si>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</si>
  <si>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</si>
  <si>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</si>
  <si>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</si>
  <si>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</si>
  <si>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</si>
  <si>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</si>
  <si>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</si>
  <si>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</si>
  <si>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</si>
  <si>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</si>
  <si>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</si>
  <si>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</si>
  <si>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</si>
  <si>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</si>
  <si>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</si>
  <si>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</si>
  <si>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</si>
  <si>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</si>
  <si>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</si>
  <si>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</si>
  <si>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</si>
  <si>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</si>
  <si>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</si>
  <si>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</si>
  <si>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</si>
  <si>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</si>
  <si>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</si>
  <si>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</si>
  <si>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</si>
  <si>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</si>
  <si>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</si>
  <si>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</si>
  <si>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</si>
  <si>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</si>
  <si>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</si>
  <si>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</si>
  <si>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</si>
  <si>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</si>
  <si>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</si>
  <si>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</si>
  <si>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</si>
  <si>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</si>
  <si>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</si>
  <si>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</si>
  <si>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</si>
  <si>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</si>
  <si>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</si>
  <si>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</si>
  <si>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</si>
  <si>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</si>
  <si>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</si>
  <si>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</si>
  <si>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</si>
  <si>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</si>
  <si>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</si>
  <si>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</si>
  <si>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</si>
  <si>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</si>
  <si>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</si>
  <si>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</si>
  <si>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</si>
  <si>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</si>
  <si>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</si>
  <si>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</si>
  <si>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</si>
  <si>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</si>
  <si>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</si>
  <si>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</si>
  <si>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</si>
  <si>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</si>
  <si>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</si>
  <si>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</si>
  <si>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</si>
  <si>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Shares (5% dilution)</t>
  </si>
  <si>
    <t>Forward P/S</t>
  </si>
  <si>
    <t>Forward P/E</t>
  </si>
  <si>
    <t>Forward P/FCF</t>
  </si>
  <si>
    <t>Unlevered FCF</t>
  </si>
  <si>
    <t>Unlevered FCF Proj</t>
  </si>
  <si>
    <t>Unlevered FCF Forecast</t>
  </si>
  <si>
    <t>Levered 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</si>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</sst>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5" xfId="0" applyFont="1" applyFill="1" applyBorder="1" applyAlignment="1">
      <alignment horizontal="center" vertical="center" wrapText="1"/>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0" fillId="0" borderId="0" xfId="0" applyAlignment="1">
      <alignment vertical="center"/>
    </xf>
    <xf numFmtId="0" fontId="0" fillId="5" borderId="0" xfId="0" applyFill="1"/>
    <xf numFmtId="0" fontId="0" fillId="5" borderId="0" xfId="0" applyFill="1" applyAlignment="1">
      <alignment horizontal="left"/>
    </xf>
    <xf numFmtId="37" fontId="1" fillId="0" borderId="0" xfId="0" applyNumberFormat="1" applyFont="1"/>
    <xf numFmtId="164" fontId="10" fillId="5" borderId="0" xfId="0" applyNumberFormat="1" applyFont="1" applyFill="1"/>
    <xf numFmtId="0" fontId="12" fillId="3" borderId="8" xfId="0" applyFont="1" applyFill="1" applyBorder="1" applyAlignment="1">
      <alignment horizontal="center" vertical="center" wrapText="1"/>
    </xf>
    <xf numFmtId="9" fontId="11" fillId="0" borderId="8" xfId="0" applyNumberFormat="1" applyFont="1" applyBorder="1" applyAlignment="1">
      <alignment horizontal="center"/>
    </xf>
    <xf numFmtId="0" fontId="12" fillId="7" borderId="5" xfId="0" applyFont="1" applyFill="1" applyBorder="1" applyAlignment="1">
      <alignment horizontal="center" vertical="center" wrapText="1"/>
    </xf>
    <xf numFmtId="0" fontId="12"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165" fontId="10" fillId="0" borderId="10" xfId="0"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Crowdstrike</a:t>
            </a:r>
          </a:p>
        </c:rich>
      </c:tx>
      <c:layout>
        <c:manualLayout>
          <c:xMode val="edge"/>
          <c:yMode val="edge"/>
          <c:x val="0.41004651162790695"/>
          <c:y val="2.728306502201263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817275747508305E-2"/>
          <c:y val="0.14943552937739235"/>
          <c:w val="0.85603986710963442"/>
          <c:h val="0.6963538081239085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1'!$B$3:$H$3</c:f>
              <c:numCache>
                <c:formatCode>#,###,,;\(#,###,,\);\ \-\ \-</c:formatCode>
                <c:ptCount val="7"/>
                <c:pt idx="0">
                  <c:v>52745000</c:v>
                </c:pt>
                <c:pt idx="1">
                  <c:v>118752000</c:v>
                </c:pt>
                <c:pt idx="2">
                  <c:v>249824000</c:v>
                </c:pt>
                <c:pt idx="3">
                  <c:v>481413000</c:v>
                </c:pt>
                <c:pt idx="4">
                  <c:v>874438000</c:v>
                </c:pt>
                <c:pt idx="5">
                  <c:v>1451594000</c:v>
                </c:pt>
                <c:pt idx="6">
                  <c:v>2241236000</c:v>
                </c:pt>
              </c:numCache>
            </c:numRef>
          </c:val>
          <c:extLst>
            <c:ext xmlns:c16="http://schemas.microsoft.com/office/drawing/2014/chart" uri="{C3380CC4-5D6E-409C-BE32-E72D297353CC}">
              <c16:uniqueId val="{00000000-63E9-F342-A77F-A615BA693BF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1'!$B$28:$H$28</c:f>
              <c:numCache>
                <c:formatCode>#,###,,;\(#,###,,\);\ \-\ \-</c:formatCode>
                <c:ptCount val="7"/>
                <c:pt idx="0">
                  <c:v>-91340000</c:v>
                </c:pt>
                <c:pt idx="1">
                  <c:v>-135490000</c:v>
                </c:pt>
                <c:pt idx="2">
                  <c:v>-140077000</c:v>
                </c:pt>
                <c:pt idx="3">
                  <c:v>-141779000</c:v>
                </c:pt>
                <c:pt idx="4">
                  <c:v>-92629000</c:v>
                </c:pt>
                <c:pt idx="5">
                  <c:v>-232378000</c:v>
                </c:pt>
                <c:pt idx="6">
                  <c:v>-183245000</c:v>
                </c:pt>
              </c:numCache>
            </c:numRef>
          </c:val>
          <c:extLst>
            <c:ext xmlns:c16="http://schemas.microsoft.com/office/drawing/2014/chart" uri="{C3380CC4-5D6E-409C-BE32-E72D297353CC}">
              <c16:uniqueId val="{00000001-63E9-F342-A77F-A615BA693BF5}"/>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1'!$B$105:$H$105</c:f>
              <c:numCache>
                <c:formatCode>#,###,,;\(#,###,,\);\ \-\ \-</c:formatCode>
                <c:ptCount val="7"/>
                <c:pt idx="0">
                  <c:v>-46934800</c:v>
                </c:pt>
                <c:pt idx="1">
                  <c:v>-77858000</c:v>
                </c:pt>
                <c:pt idx="2">
                  <c:v>-80644200</c:v>
                </c:pt>
                <c:pt idx="3">
                  <c:v>-76066000</c:v>
                </c:pt>
                <c:pt idx="4">
                  <c:v>98931800</c:v>
                </c:pt>
                <c:pt idx="5">
                  <c:v>164351600</c:v>
                </c:pt>
                <c:pt idx="6">
                  <c:v>208373400</c:v>
                </c:pt>
              </c:numCache>
            </c:numRef>
          </c:val>
          <c:extLst>
            <c:ext xmlns:c16="http://schemas.microsoft.com/office/drawing/2014/chart" uri="{C3380CC4-5D6E-409C-BE32-E72D297353CC}">
              <c16:uniqueId val="{00000002-63E9-F342-A77F-A615BA693BF5}"/>
            </c:ext>
          </c:extLst>
        </c:ser>
        <c:dLbls>
          <c:showLegendKey val="0"/>
          <c:showVal val="0"/>
          <c:showCatName val="0"/>
          <c:showSerName val="0"/>
          <c:showPercent val="0"/>
          <c:showBubbleSize val="0"/>
        </c:dLbls>
        <c:gapWidth val="100"/>
        <c:overlap val="-24"/>
        <c:axId val="1882300799"/>
        <c:axId val="1882309135"/>
      </c:barChart>
      <c:catAx>
        <c:axId val="18823007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2309135"/>
        <c:crosses val="autoZero"/>
        <c:auto val="1"/>
        <c:lblAlgn val="ctr"/>
        <c:lblOffset val="100"/>
        <c:noMultiLvlLbl val="0"/>
      </c:catAx>
      <c:valAx>
        <c:axId val="188230913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2300799"/>
        <c:crosses val="autoZero"/>
        <c:crossBetween val="between"/>
      </c:valAx>
      <c:spPr>
        <a:noFill/>
        <a:ln>
          <a:noFill/>
        </a:ln>
        <a:effectLst/>
      </c:spPr>
    </c:plotArea>
    <c:legend>
      <c:legendPos val="b"/>
      <c:layout>
        <c:manualLayout>
          <c:xMode val="edge"/>
          <c:yMode val="edge"/>
          <c:x val="0.33431595469171005"/>
          <c:y val="0.89541945265827294"/>
          <c:w val="0.33402579328746695"/>
          <c:h val="6.214022397415198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15875</xdr:colOff>
      <xdr:row>108</xdr:row>
      <xdr:rowOff>17463</xdr:rowOff>
    </xdr:from>
    <xdr:to>
      <xdr:col>16</xdr:col>
      <xdr:colOff>0</xdr:colOff>
      <xdr:row>126</xdr:row>
      <xdr:rowOff>31750</xdr:rowOff>
    </xdr:to>
    <xdr:graphicFrame macro="">
      <xdr:nvGraphicFramePr>
        <xdr:cNvPr id="2" name="Chart 1">
          <a:extLst>
            <a:ext uri="{FF2B5EF4-FFF2-40B4-BE49-F238E27FC236}">
              <a16:creationId xmlns:a16="http://schemas.microsoft.com/office/drawing/2014/main" id="{B0822EE1-C3A6-9008-87E5-781DBD256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205.73</v>
    <v>92.25</v>
    <v>0.9516</v>
    <v>1.2</v>
    <v>8.0140000000000003E-3</v>
    <v>-0.44</v>
    <v>-2.9149999999999996E-3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153.41</v>
    <v>Software &amp; IT Services</v>
    <v>Stock</v>
    <v>45132.974640010936</v>
    <v>0</v>
    <v>150.54</v>
    <v>35789141896</v>
    <v>CROWDSTRIKE HOLDINGS, INC.</v>
    <v>CROWDSTRIKE HOLDINGS, INC.</v>
    <v>150.62</v>
    <v>149.74</v>
    <v>150.94</v>
    <v>150.5</v>
    <v>237108400</v>
    <v>CRWD</v>
    <v>CROWDSTRIKE HOLDINGS, INC. (XNAS:CRWD)</v>
    <v>2245841</v>
    <v>3535415</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17" Type="http://schemas.openxmlformats.org/officeDocument/2006/relationships/hyperlink" Target="https://finbox.com/NASDAQGS:CRWD/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35527/000153552723000008/0001535527-23-000008-index.htm"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35527/000153552723000008/0001535527-23-000008-index.htm" TargetMode="Externa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E2" activePane="bottomRight" state="frozen"/>
      <selection pane="topRight"/>
      <selection pane="bottomLeft"/>
      <selection pane="bottomRight" activeCell="K15" sqref="K15"/>
    </sheetView>
  </sheetViews>
  <sheetFormatPr baseColWidth="10" defaultRowHeight="16" x14ac:dyDescent="0.2"/>
  <cols>
    <col min="1" max="1" width="50" customWidth="1"/>
    <col min="2" max="8" width="15" customWidth="1"/>
    <col min="9" max="13" width="20.83203125" customWidth="1"/>
    <col min="14" max="17" width="21" customWidth="1"/>
  </cols>
  <sheetData>
    <row r="1" spans="1:39" ht="22" thickBot="1" x14ac:dyDescent="0.3">
      <c r="A1" s="3" t="e" vm="1">
        <v>#VALUE!</v>
      </c>
      <c r="B1" s="8">
        <v>2017</v>
      </c>
      <c r="C1" s="8">
        <v>2018</v>
      </c>
      <c r="D1" s="8">
        <v>2019</v>
      </c>
      <c r="E1" s="8">
        <v>2020</v>
      </c>
      <c r="F1" s="8">
        <v>2021</v>
      </c>
      <c r="G1" s="8">
        <v>2022</v>
      </c>
      <c r="H1" s="8">
        <v>2023</v>
      </c>
      <c r="I1" s="23">
        <v>2024</v>
      </c>
      <c r="J1" s="23">
        <v>2025</v>
      </c>
      <c r="K1" s="23">
        <v>2026</v>
      </c>
      <c r="L1" s="23">
        <v>2027</v>
      </c>
      <c r="M1" s="23">
        <v>2028</v>
      </c>
    </row>
    <row r="2" spans="1:39" ht="21" x14ac:dyDescent="0.25">
      <c r="A2" s="4" t="s">
        <v>0</v>
      </c>
      <c r="B2" s="9" t="s">
        <v>90</v>
      </c>
      <c r="C2" s="9" t="s">
        <v>90</v>
      </c>
      <c r="D2" s="9" t="s">
        <v>90</v>
      </c>
      <c r="E2" s="9" t="s">
        <v>90</v>
      </c>
      <c r="F2" s="9" t="s">
        <v>90</v>
      </c>
      <c r="G2" s="9" t="s">
        <v>90</v>
      </c>
      <c r="H2" s="9"/>
      <c r="I2" s="9" t="s">
        <v>90</v>
      </c>
      <c r="J2" s="9" t="s">
        <v>90</v>
      </c>
      <c r="K2" s="9" t="s">
        <v>90</v>
      </c>
      <c r="L2" s="9"/>
      <c r="M2" s="9"/>
      <c r="N2" s="9"/>
      <c r="O2" s="9"/>
      <c r="P2" s="9"/>
      <c r="Q2" s="9"/>
    </row>
    <row r="3" spans="1:39" ht="40" x14ac:dyDescent="0.25">
      <c r="A3" s="5" t="s">
        <v>1</v>
      </c>
      <c r="B3" s="1">
        <v>52745000</v>
      </c>
      <c r="C3" s="1">
        <v>118752000</v>
      </c>
      <c r="D3" s="1">
        <v>249824000</v>
      </c>
      <c r="E3" s="1">
        <v>481413000</v>
      </c>
      <c r="F3" s="1">
        <v>874438000</v>
      </c>
      <c r="G3" s="1">
        <v>1451594000</v>
      </c>
      <c r="H3" s="1">
        <v>2241236000</v>
      </c>
      <c r="I3" s="24">
        <v>3022000000</v>
      </c>
      <c r="J3" s="24">
        <v>3877000000</v>
      </c>
      <c r="K3" s="24">
        <v>4874000000</v>
      </c>
      <c r="L3" s="24">
        <v>6775000000</v>
      </c>
      <c r="M3" s="24">
        <v>8255000000</v>
      </c>
      <c r="N3" s="30" t="s">
        <v>109</v>
      </c>
      <c r="O3" s="30" t="s">
        <v>110</v>
      </c>
      <c r="P3" s="30" t="s">
        <v>111</v>
      </c>
      <c r="Q3" s="19" t="s">
        <v>112</v>
      </c>
      <c r="R3" s="16"/>
      <c r="S3" s="16"/>
    </row>
    <row r="4" spans="1:39" ht="19" x14ac:dyDescent="0.25">
      <c r="A4" s="14" t="s">
        <v>93</v>
      </c>
      <c r="B4" s="1"/>
      <c r="C4" s="15">
        <f>(C3/B3)-1</f>
        <v>1.25143615508579</v>
      </c>
      <c r="D4" s="15">
        <f>(D3/C3)-1</f>
        <v>1.103745621126381</v>
      </c>
      <c r="E4" s="15">
        <f>(E3/D3)-1</f>
        <v>0.92700861406430124</v>
      </c>
      <c r="F4" s="15">
        <f t="shared" ref="F4:M4" si="0">(F3/E3)-1</f>
        <v>0.81639880933834363</v>
      </c>
      <c r="G4" s="15">
        <f t="shared" si="0"/>
        <v>0.66003078548736438</v>
      </c>
      <c r="H4" s="15">
        <f t="shared" si="0"/>
        <v>0.54398268386339432</v>
      </c>
      <c r="I4" s="16">
        <f>(I3/H3)-1</f>
        <v>0.34836313534139207</v>
      </c>
      <c r="J4" s="16">
        <f t="shared" si="0"/>
        <v>0.28292521508934487</v>
      </c>
      <c r="K4" s="16">
        <f t="shared" si="0"/>
        <v>0.25715759607944277</v>
      </c>
      <c r="L4" s="16">
        <f t="shared" si="0"/>
        <v>0.39002872384078779</v>
      </c>
      <c r="M4" s="16">
        <f t="shared" si="0"/>
        <v>0.21845018450184495</v>
      </c>
      <c r="N4" s="31">
        <f>(G4+F4+H4)/3</f>
        <v>0.67347075956303415</v>
      </c>
      <c r="O4" s="31">
        <f>(G20+F20+H20)/3</f>
        <v>9.301753392992225E-2</v>
      </c>
      <c r="P4" s="31">
        <f>(G29+F29+H29)/3</f>
        <v>0.31686467072325802</v>
      </c>
      <c r="Q4" s="17">
        <f>(G106+F106+H106)/3</f>
        <v>7.8473217867696903</v>
      </c>
      <c r="R4" s="16"/>
      <c r="S4" s="16"/>
      <c r="T4" s="16"/>
      <c r="U4" s="16"/>
      <c r="V4" s="16"/>
      <c r="W4" s="16"/>
      <c r="X4" s="16"/>
      <c r="Y4" s="16"/>
      <c r="Z4" s="16"/>
      <c r="AA4" s="16"/>
      <c r="AB4" s="16"/>
      <c r="AC4" s="16"/>
      <c r="AD4" s="16"/>
      <c r="AE4" s="16"/>
      <c r="AF4" s="16"/>
      <c r="AG4" s="16"/>
      <c r="AJ4" s="18"/>
      <c r="AK4" s="18"/>
      <c r="AL4" s="18"/>
      <c r="AM4" s="18"/>
    </row>
    <row r="5" spans="1:39" ht="19" x14ac:dyDescent="0.25">
      <c r="A5" s="5" t="s">
        <v>2</v>
      </c>
      <c r="B5" s="1">
        <v>34006000</v>
      </c>
      <c r="C5" s="1">
        <v>54486000</v>
      </c>
      <c r="D5" s="1">
        <v>87238000</v>
      </c>
      <c r="E5" s="1">
        <v>141627000</v>
      </c>
      <c r="F5" s="1">
        <v>229545000</v>
      </c>
      <c r="G5" s="1">
        <v>383221000</v>
      </c>
      <c r="H5" s="1">
        <v>601231000</v>
      </c>
    </row>
    <row r="6" spans="1:39" ht="20" x14ac:dyDescent="0.25">
      <c r="A6" s="6" t="s">
        <v>3</v>
      </c>
      <c r="B6" s="10">
        <v>18739000</v>
      </c>
      <c r="C6" s="10">
        <v>64266000</v>
      </c>
      <c r="D6" s="10">
        <v>162586000</v>
      </c>
      <c r="E6" s="10">
        <v>339786000</v>
      </c>
      <c r="F6" s="10">
        <v>644893000</v>
      </c>
      <c r="G6" s="10">
        <v>1068373000</v>
      </c>
      <c r="H6" s="10">
        <v>1640005000</v>
      </c>
      <c r="N6" s="30" t="s">
        <v>113</v>
      </c>
      <c r="O6" s="30" t="s">
        <v>114</v>
      </c>
      <c r="P6" s="30" t="s">
        <v>115</v>
      </c>
      <c r="Q6" s="19" t="s">
        <v>116</v>
      </c>
    </row>
    <row r="7" spans="1:39" ht="19" x14ac:dyDescent="0.25">
      <c r="A7" s="5" t="s">
        <v>4</v>
      </c>
      <c r="B7" s="2">
        <v>0.3553</v>
      </c>
      <c r="C7" s="2">
        <v>0.54120000000000001</v>
      </c>
      <c r="D7" s="2">
        <v>0.65080000000000005</v>
      </c>
      <c r="E7" s="2">
        <v>0.70579999999999998</v>
      </c>
      <c r="F7" s="2">
        <v>0.73750000000000004</v>
      </c>
      <c r="G7" s="2">
        <v>0.73599999999999999</v>
      </c>
      <c r="H7" s="2">
        <v>0.73170000000000002</v>
      </c>
      <c r="N7" s="31">
        <f>H7</f>
        <v>0.73170000000000002</v>
      </c>
      <c r="O7" s="31">
        <f>H21</f>
        <v>-1.8599999999999998E-2</v>
      </c>
      <c r="P7" s="31">
        <f>H30</f>
        <v>-8.1799999999999998E-2</v>
      </c>
      <c r="Q7" s="17">
        <f>H107/H3</f>
        <v>0.3020177259333689</v>
      </c>
    </row>
    <row r="8" spans="1:39" ht="19" x14ac:dyDescent="0.25">
      <c r="A8" s="5" t="s">
        <v>5</v>
      </c>
      <c r="B8" s="1">
        <v>39145000</v>
      </c>
      <c r="C8" s="1">
        <v>58887000</v>
      </c>
      <c r="D8" s="1">
        <v>84551000</v>
      </c>
      <c r="E8" s="1">
        <v>130188000</v>
      </c>
      <c r="F8" s="1">
        <v>214670000</v>
      </c>
      <c r="G8" s="1">
        <v>371283000</v>
      </c>
      <c r="H8" s="1">
        <v>608364000</v>
      </c>
    </row>
    <row r="9" spans="1:39" ht="19" customHeight="1" x14ac:dyDescent="0.25">
      <c r="A9" s="14" t="s">
        <v>94</v>
      </c>
      <c r="B9" s="15">
        <f>B8/B3</f>
        <v>0.74215565456441368</v>
      </c>
      <c r="C9" s="15">
        <f t="shared" ref="C9:H9" si="1">C8/C3</f>
        <v>0.49588217461600648</v>
      </c>
      <c r="D9" s="15">
        <f t="shared" si="1"/>
        <v>0.33844226335340077</v>
      </c>
      <c r="E9" s="15">
        <f t="shared" si="1"/>
        <v>0.27042892485246556</v>
      </c>
      <c r="F9" s="15">
        <f t="shared" si="1"/>
        <v>0.24549482067339251</v>
      </c>
      <c r="G9" s="15">
        <f t="shared" si="1"/>
        <v>0.25577606410607923</v>
      </c>
      <c r="H9" s="15">
        <f t="shared" si="1"/>
        <v>0.27144129400027484</v>
      </c>
      <c r="I9" s="15"/>
      <c r="J9" s="15"/>
      <c r="N9" s="30" t="s">
        <v>95</v>
      </c>
      <c r="O9" s="19" t="s">
        <v>96</v>
      </c>
      <c r="P9" s="19" t="s">
        <v>97</v>
      </c>
      <c r="Q9" s="19" t="s">
        <v>98</v>
      </c>
    </row>
    <row r="10" spans="1:39" ht="19" x14ac:dyDescent="0.25">
      <c r="A10" s="5" t="s">
        <v>6</v>
      </c>
      <c r="B10" s="1">
        <v>16402000</v>
      </c>
      <c r="C10" s="1">
        <v>32542000</v>
      </c>
      <c r="D10" s="1">
        <v>42217000</v>
      </c>
      <c r="E10" s="1">
        <v>89068000</v>
      </c>
      <c r="F10" s="1">
        <v>121436000</v>
      </c>
      <c r="G10" s="1">
        <v>223092000</v>
      </c>
      <c r="H10" s="1">
        <v>317344000</v>
      </c>
      <c r="N10" s="31">
        <f>(G9+F9+H9)/3</f>
        <v>0.25757072625991556</v>
      </c>
      <c r="O10" s="31">
        <f>(G13+F13+H13)/3</f>
        <v>0.57378810025399529</v>
      </c>
      <c r="P10" s="31">
        <f>(G80+F80+H80)/3</f>
        <v>0.20653638510830544</v>
      </c>
      <c r="Q10" s="17">
        <f>(G89+F89+H89)/3</f>
        <v>8.0832301318894351E-2</v>
      </c>
    </row>
    <row r="11" spans="1:39" ht="19" x14ac:dyDescent="0.25">
      <c r="A11" s="5" t="s">
        <v>7</v>
      </c>
      <c r="B11" s="1">
        <v>53748000</v>
      </c>
      <c r="C11" s="1">
        <v>104277000</v>
      </c>
      <c r="D11" s="1">
        <v>172682000</v>
      </c>
      <c r="E11" s="1">
        <v>266595000</v>
      </c>
      <c r="F11" s="1">
        <v>401316000</v>
      </c>
      <c r="G11" s="1">
        <v>616546000</v>
      </c>
      <c r="H11" s="1">
        <v>904409000</v>
      </c>
    </row>
    <row r="12" spans="1:39" ht="20" x14ac:dyDescent="0.25">
      <c r="A12" s="5" t="s">
        <v>8</v>
      </c>
      <c r="B12" s="1">
        <v>70150000</v>
      </c>
      <c r="C12" s="1">
        <v>136819000</v>
      </c>
      <c r="D12" s="1">
        <v>214899000</v>
      </c>
      <c r="E12" s="1">
        <v>355663000</v>
      </c>
      <c r="F12" s="1">
        <v>522752000</v>
      </c>
      <c r="G12" s="1">
        <v>839638000</v>
      </c>
      <c r="H12" s="1">
        <v>1221753000</v>
      </c>
      <c r="N12" s="30" t="s">
        <v>117</v>
      </c>
      <c r="O12" s="30" t="s">
        <v>118</v>
      </c>
      <c r="P12" s="30" t="s">
        <v>119</v>
      </c>
      <c r="Q12" s="19" t="s">
        <v>120</v>
      </c>
    </row>
    <row r="13" spans="1:39" ht="19" x14ac:dyDescent="0.25">
      <c r="A13" s="14" t="s">
        <v>99</v>
      </c>
      <c r="B13" s="15">
        <f>B12/B3</f>
        <v>1.3299838847284102</v>
      </c>
      <c r="C13" s="15">
        <f t="shared" ref="C13:H13" si="2">C12/C3</f>
        <v>1.1521405955268123</v>
      </c>
      <c r="D13" s="15">
        <f t="shared" si="2"/>
        <v>0.86020158191366725</v>
      </c>
      <c r="E13" s="15">
        <f t="shared" si="2"/>
        <v>0.73878977094511367</v>
      </c>
      <c r="F13" s="15">
        <f t="shared" si="2"/>
        <v>0.59781482506478445</v>
      </c>
      <c r="G13" s="15">
        <f t="shared" si="2"/>
        <v>0.57842482126545025</v>
      </c>
      <c r="H13" s="15">
        <f t="shared" si="2"/>
        <v>0.54512465443175107</v>
      </c>
      <c r="I13" s="15"/>
      <c r="J13" s="15"/>
      <c r="N13" s="31">
        <f>H28/H72</f>
        <v>-0.12519805061487072</v>
      </c>
      <c r="O13" s="17">
        <f>H28/H54</f>
        <v>-3.6455494236592167E-2</v>
      </c>
      <c r="P13" s="31">
        <f>(H28-H98)/H73</f>
        <v>-3.6628876095473148E-2</v>
      </c>
      <c r="Q13" s="21">
        <f>(G61+G56)/G72</f>
        <v>0.74661131044106688</v>
      </c>
    </row>
    <row r="14" spans="1:39" ht="19" x14ac:dyDescent="0.25">
      <c r="A14" s="5" t="s">
        <v>9</v>
      </c>
      <c r="B14" s="1" t="s">
        <v>91</v>
      </c>
      <c r="C14" s="1" t="s">
        <v>91</v>
      </c>
      <c r="D14" s="1" t="s">
        <v>91</v>
      </c>
      <c r="E14" s="1" t="s">
        <v>91</v>
      </c>
      <c r="F14" s="1" t="s">
        <v>91</v>
      </c>
      <c r="G14" s="1" t="s">
        <v>91</v>
      </c>
      <c r="H14" s="1" t="s">
        <v>91</v>
      </c>
    </row>
    <row r="15" spans="1:39" ht="20" x14ac:dyDescent="0.25">
      <c r="A15" s="5" t="s">
        <v>10</v>
      </c>
      <c r="B15" s="1">
        <v>109295000</v>
      </c>
      <c r="C15" s="1">
        <v>195706000</v>
      </c>
      <c r="D15" s="1">
        <v>299450000</v>
      </c>
      <c r="E15" s="1">
        <v>485851000</v>
      </c>
      <c r="F15" s="1">
        <v>737422000</v>
      </c>
      <c r="G15" s="1">
        <v>1210921000</v>
      </c>
      <c r="H15" s="1">
        <v>1830117000</v>
      </c>
      <c r="N15" s="30" t="s">
        <v>121</v>
      </c>
      <c r="O15" s="19" t="s">
        <v>153</v>
      </c>
      <c r="P15" s="19" t="s">
        <v>154</v>
      </c>
      <c r="Q15" s="32" t="s">
        <v>155</v>
      </c>
    </row>
    <row r="16" spans="1:39" ht="19" x14ac:dyDescent="0.25">
      <c r="A16" s="5" t="s">
        <v>11</v>
      </c>
      <c r="B16" s="1">
        <v>143301000</v>
      </c>
      <c r="C16" s="1">
        <v>250192000</v>
      </c>
      <c r="D16" s="1">
        <v>386688000</v>
      </c>
      <c r="E16" s="1">
        <v>627478000</v>
      </c>
      <c r="F16" s="1">
        <v>966967000</v>
      </c>
      <c r="G16" s="1">
        <v>1594142000</v>
      </c>
      <c r="H16" s="1">
        <v>2431348000</v>
      </c>
      <c r="N16" s="20">
        <f>(SUM(D35:H35)/5)</f>
        <v>8.101030415292805E-2</v>
      </c>
      <c r="O16" s="39">
        <f>P101/H3</f>
        <v>15.968484307765893</v>
      </c>
      <c r="P16" s="39">
        <f>P101/H25</f>
        <v>-223.84582410887961</v>
      </c>
      <c r="Q16" s="40">
        <f>P101/H107</f>
        <v>52.872672484425159</v>
      </c>
    </row>
    <row r="17" spans="1:17" ht="19" x14ac:dyDescent="0.25">
      <c r="A17" s="5" t="s">
        <v>12</v>
      </c>
      <c r="B17" s="1">
        <v>615000</v>
      </c>
      <c r="C17" s="1">
        <v>1648000</v>
      </c>
      <c r="D17" s="1">
        <v>428000</v>
      </c>
      <c r="E17" s="1">
        <v>442000</v>
      </c>
      <c r="F17" s="1">
        <v>1559000</v>
      </c>
      <c r="G17" s="1">
        <v>-25231000</v>
      </c>
      <c r="H17" s="1">
        <v>25319000</v>
      </c>
    </row>
    <row r="18" spans="1:17" ht="20" x14ac:dyDescent="0.25">
      <c r="A18" s="5" t="s">
        <v>13</v>
      </c>
      <c r="B18" s="1">
        <v>3021000</v>
      </c>
      <c r="C18" s="1">
        <v>7739000</v>
      </c>
      <c r="D18" s="1">
        <v>15398000</v>
      </c>
      <c r="E18" s="1">
        <v>23513000</v>
      </c>
      <c r="F18" s="1">
        <v>40143000</v>
      </c>
      <c r="G18" s="1">
        <v>68810000</v>
      </c>
      <c r="H18" s="1">
        <v>93810000</v>
      </c>
      <c r="N18" s="33" t="s">
        <v>156</v>
      </c>
      <c r="O18" s="19" t="s">
        <v>158</v>
      </c>
      <c r="P18" s="19" t="s">
        <v>159</v>
      </c>
      <c r="Q18" s="32" t="s">
        <v>160</v>
      </c>
    </row>
    <row r="19" spans="1:17" ht="19" x14ac:dyDescent="0.25">
      <c r="A19" s="6" t="s">
        <v>14</v>
      </c>
      <c r="B19" s="10">
        <v>-87617000</v>
      </c>
      <c r="C19" s="10">
        <v>-125174000</v>
      </c>
      <c r="D19" s="10">
        <v>-122884000</v>
      </c>
      <c r="E19" s="10">
        <v>-115827000</v>
      </c>
      <c r="F19" s="10">
        <v>-46167000</v>
      </c>
      <c r="G19" s="10">
        <v>-116444000</v>
      </c>
      <c r="H19" s="10">
        <v>-41714000</v>
      </c>
      <c r="I19" s="35">
        <v>627000000</v>
      </c>
      <c r="J19" s="35">
        <v>850700000</v>
      </c>
      <c r="K19" s="35">
        <v>1133000000</v>
      </c>
      <c r="L19" s="35">
        <v>1915000000</v>
      </c>
      <c r="M19" s="35">
        <v>2746000000</v>
      </c>
      <c r="N19" s="34">
        <f>H40-H56-H61</f>
        <v>1921751000</v>
      </c>
      <c r="O19" s="39">
        <f>P101/I3</f>
        <v>11.842866279285241</v>
      </c>
      <c r="P19" s="39">
        <f>P101/I28</f>
        <v>61.908219851236808</v>
      </c>
      <c r="Q19" s="40">
        <f>P101/I106</f>
        <v>59.54932095840266</v>
      </c>
    </row>
    <row r="20" spans="1:17" ht="19" customHeight="1" x14ac:dyDescent="0.25">
      <c r="A20" s="14" t="s">
        <v>100</v>
      </c>
      <c r="B20" s="1"/>
      <c r="C20" s="15">
        <f>(C19/B19)-1</f>
        <v>0.42864969126995911</v>
      </c>
      <c r="D20" s="15">
        <f>(D19/C19)-1</f>
        <v>-1.8294534008659991E-2</v>
      </c>
      <c r="E20" s="15">
        <f>(E19/D19)-1</f>
        <v>-5.7428143615116722E-2</v>
      </c>
      <c r="F20" s="15">
        <f t="shared" ref="F20:H20" si="3">(F19/E19)-1</f>
        <v>-0.6014141780413893</v>
      </c>
      <c r="G20" s="15">
        <f t="shared" si="3"/>
        <v>1.5222344965018304</v>
      </c>
      <c r="H20" s="15">
        <f t="shared" si="3"/>
        <v>-0.64176771667067434</v>
      </c>
      <c r="I20" s="16">
        <f t="shared" ref="I20" si="4">(I19/H19)-1</f>
        <v>-16.030924869348418</v>
      </c>
      <c r="J20" s="16">
        <f t="shared" ref="J20" si="5">(J19/I19)-1</f>
        <v>0.35677830940988842</v>
      </c>
      <c r="K20" s="16">
        <f t="shared" ref="K20" si="6">(K19/J19)-1</f>
        <v>0.33184436346538138</v>
      </c>
      <c r="L20" s="16">
        <f t="shared" ref="L20" si="7">(L19/K19)-1</f>
        <v>0.69020300088261255</v>
      </c>
      <c r="M20" s="16">
        <f t="shared" ref="M20" si="8">(M19/L19)-1</f>
        <v>0.43394255874673626</v>
      </c>
      <c r="Q20" s="15"/>
    </row>
    <row r="21" spans="1:17" ht="20" x14ac:dyDescent="0.25">
      <c r="A21" s="5" t="s">
        <v>15</v>
      </c>
      <c r="B21" s="2">
        <v>-1.6611</v>
      </c>
      <c r="C21" s="2">
        <v>-1.0541</v>
      </c>
      <c r="D21" s="2">
        <v>-0.4919</v>
      </c>
      <c r="E21" s="2">
        <v>-0.24060000000000001</v>
      </c>
      <c r="F21" s="2">
        <v>-5.28E-2</v>
      </c>
      <c r="G21" s="2">
        <v>-8.0199999999999994E-2</v>
      </c>
      <c r="H21" s="2">
        <v>-1.8599999999999998E-2</v>
      </c>
      <c r="I21" s="71">
        <f>I19/I3</f>
        <v>0.20747849106551952</v>
      </c>
      <c r="J21" s="71">
        <f t="shared" ref="J21:M21" si="9">J19/J3</f>
        <v>0.21942223368583957</v>
      </c>
      <c r="K21" s="71">
        <f t="shared" si="9"/>
        <v>0.23245794009027493</v>
      </c>
      <c r="L21" s="71">
        <f t="shared" si="9"/>
        <v>0.28265682656826568</v>
      </c>
      <c r="M21" s="71">
        <f t="shared" si="9"/>
        <v>0.33264688067837672</v>
      </c>
      <c r="P21" s="33" t="s">
        <v>165</v>
      </c>
      <c r="Q21" s="32" t="s">
        <v>166</v>
      </c>
    </row>
    <row r="22" spans="1:17" ht="19" x14ac:dyDescent="0.25">
      <c r="A22" s="6" t="s">
        <v>16</v>
      </c>
      <c r="B22" s="10">
        <v>-90556000</v>
      </c>
      <c r="C22" s="10">
        <v>-131440000</v>
      </c>
      <c r="D22" s="10">
        <v>-136864000</v>
      </c>
      <c r="E22" s="10">
        <v>-146065000</v>
      </c>
      <c r="F22" s="10">
        <v>-92529000</v>
      </c>
      <c r="G22" s="10">
        <v>-142548000</v>
      </c>
      <c r="H22" s="10">
        <v>-190112000</v>
      </c>
      <c r="P22" s="44">
        <f>(-1*H98)/P101</f>
        <v>0</v>
      </c>
      <c r="Q22" s="45">
        <f>H107/P101</f>
        <v>1.8913362102030543E-2</v>
      </c>
    </row>
    <row r="23" spans="1:17" ht="19" x14ac:dyDescent="0.25">
      <c r="A23" s="5" t="s">
        <v>17</v>
      </c>
      <c r="B23" s="2">
        <v>-1.7169000000000001</v>
      </c>
      <c r="C23" s="2">
        <v>-1.1068</v>
      </c>
      <c r="D23" s="2">
        <v>-0.54779999999999995</v>
      </c>
      <c r="E23" s="2">
        <v>-0.3034</v>
      </c>
      <c r="F23" s="2">
        <v>-0.10580000000000001</v>
      </c>
      <c r="G23" s="2">
        <v>-9.8199999999999996E-2</v>
      </c>
      <c r="H23" s="2">
        <v>-8.48E-2</v>
      </c>
    </row>
    <row r="24" spans="1:17" ht="19" x14ac:dyDescent="0.25">
      <c r="A24" s="5" t="s">
        <v>18</v>
      </c>
      <c r="B24" s="1">
        <v>-697000</v>
      </c>
      <c r="C24" s="1">
        <v>-3121000</v>
      </c>
      <c r="D24" s="1">
        <v>-1846000</v>
      </c>
      <c r="E24" s="1">
        <v>6283000</v>
      </c>
      <c r="F24" s="1">
        <v>4660000</v>
      </c>
      <c r="G24" s="1">
        <v>-17475000</v>
      </c>
      <c r="H24" s="1">
        <v>30229000</v>
      </c>
    </row>
    <row r="25" spans="1:17" ht="19" x14ac:dyDescent="0.25">
      <c r="A25" s="6" t="s">
        <v>19</v>
      </c>
      <c r="B25" s="10">
        <v>-91253000</v>
      </c>
      <c r="C25" s="10">
        <v>-134561000</v>
      </c>
      <c r="D25" s="10">
        <v>-138710000</v>
      </c>
      <c r="E25" s="10">
        <v>-139782000</v>
      </c>
      <c r="F25" s="10">
        <v>-87869000</v>
      </c>
      <c r="G25" s="10">
        <v>-160023000</v>
      </c>
      <c r="H25" s="10">
        <v>-159883000</v>
      </c>
    </row>
    <row r="26" spans="1:17" ht="19" x14ac:dyDescent="0.25">
      <c r="A26" s="5" t="s">
        <v>20</v>
      </c>
      <c r="B26" s="2">
        <v>-1.7301</v>
      </c>
      <c r="C26" s="2">
        <v>-1.1331</v>
      </c>
      <c r="D26" s="2">
        <v>-0.55520000000000003</v>
      </c>
      <c r="E26" s="2">
        <v>-0.29039999999999999</v>
      </c>
      <c r="F26" s="2">
        <v>-0.10050000000000001</v>
      </c>
      <c r="G26" s="2">
        <v>-0.11020000000000001</v>
      </c>
      <c r="H26" s="2">
        <v>-7.1300000000000002E-2</v>
      </c>
    </row>
    <row r="27" spans="1:17" ht="19" x14ac:dyDescent="0.25">
      <c r="A27" s="5" t="s">
        <v>21</v>
      </c>
      <c r="B27" s="1">
        <v>87000</v>
      </c>
      <c r="C27" s="1">
        <v>929000</v>
      </c>
      <c r="D27" s="1">
        <v>1367000</v>
      </c>
      <c r="E27" s="1">
        <v>1997000</v>
      </c>
      <c r="F27" s="1">
        <v>4760000</v>
      </c>
      <c r="G27" s="1">
        <v>72355000</v>
      </c>
      <c r="H27" s="1">
        <v>22402000</v>
      </c>
    </row>
    <row r="28" spans="1:17" ht="20" thickBot="1" x14ac:dyDescent="0.3">
      <c r="A28" s="7" t="s">
        <v>22</v>
      </c>
      <c r="B28" s="11">
        <v>-91340000</v>
      </c>
      <c r="C28" s="11">
        <v>-135490000</v>
      </c>
      <c r="D28" s="11">
        <v>-140077000</v>
      </c>
      <c r="E28" s="11">
        <v>-141779000</v>
      </c>
      <c r="F28" s="11">
        <v>-92629000</v>
      </c>
      <c r="G28" s="11">
        <v>-232378000</v>
      </c>
      <c r="H28" s="11">
        <v>-183245000</v>
      </c>
      <c r="I28" s="37">
        <v>578100000</v>
      </c>
      <c r="J28" s="37">
        <v>760000000</v>
      </c>
      <c r="K28" s="37">
        <v>1032000000</v>
      </c>
      <c r="L28" s="37">
        <v>1337000000</v>
      </c>
      <c r="M28" s="37">
        <v>1832000000</v>
      </c>
    </row>
    <row r="29" spans="1:17" ht="20" customHeight="1" thickTop="1" x14ac:dyDescent="0.25">
      <c r="A29" s="14" t="s">
        <v>102</v>
      </c>
      <c r="B29" s="1"/>
      <c r="C29" s="15">
        <f>(C28/B28)-1</f>
        <v>0.4833588789139478</v>
      </c>
      <c r="D29" s="15">
        <f>(D28/C28)-1</f>
        <v>3.3854897040372034E-2</v>
      </c>
      <c r="E29" s="15">
        <f>(E28/D28)-1</f>
        <v>1.2150460104085603E-2</v>
      </c>
      <c r="F29" s="15">
        <f t="shared" ref="F29:H29" si="10">(F28/E28)-1</f>
        <v>-0.34666629049436093</v>
      </c>
      <c r="G29" s="15">
        <f t="shared" si="10"/>
        <v>1.5086959807403728</v>
      </c>
      <c r="H29" s="15">
        <f t="shared" si="10"/>
        <v>-0.21143567807623787</v>
      </c>
      <c r="I29" s="16">
        <f t="shared" ref="I29" si="11">(I28/H28)-1</f>
        <v>-4.1547927637861877</v>
      </c>
      <c r="J29" s="16">
        <f t="shared" ref="J29" si="12">(J28/I28)-1</f>
        <v>0.31465144438678427</v>
      </c>
      <c r="K29" s="16">
        <f t="shared" ref="K29" si="13">(K28/J28)-1</f>
        <v>0.35789473684210527</v>
      </c>
      <c r="L29" s="16">
        <f t="shared" ref="L29" si="14">(L28/K28)-1</f>
        <v>0.29554263565891481</v>
      </c>
      <c r="M29" s="16">
        <f t="shared" ref="M29" si="15">(M28/L28)-1</f>
        <v>0.37023186237845929</v>
      </c>
    </row>
    <row r="30" spans="1:17" ht="19" x14ac:dyDescent="0.25">
      <c r="A30" s="5" t="s">
        <v>23</v>
      </c>
      <c r="B30" s="2">
        <v>-1.7317</v>
      </c>
      <c r="C30" s="2">
        <v>-1.1409</v>
      </c>
      <c r="D30" s="2">
        <v>-0.56069999999999998</v>
      </c>
      <c r="E30" s="2">
        <v>-0.29449999999999998</v>
      </c>
      <c r="F30" s="2">
        <v>-0.10589999999999999</v>
      </c>
      <c r="G30" s="2">
        <v>-0.16009999999999999</v>
      </c>
      <c r="H30" s="2">
        <v>-8.1799999999999998E-2</v>
      </c>
      <c r="I30" s="36">
        <f>I28/I3</f>
        <v>0.19129715420251489</v>
      </c>
      <c r="J30" s="36">
        <f t="shared" ref="J30:M30" si="16">J28/J3</f>
        <v>0.19602785659014701</v>
      </c>
      <c r="K30" s="36">
        <f t="shared" si="16"/>
        <v>0.21173574066475173</v>
      </c>
      <c r="L30" s="36">
        <f t="shared" si="16"/>
        <v>0.19734317343173433</v>
      </c>
      <c r="M30" s="36">
        <f t="shared" si="16"/>
        <v>0.22192610539067231</v>
      </c>
    </row>
    <row r="31" spans="1:17" ht="19" x14ac:dyDescent="0.25">
      <c r="A31" s="5" t="s">
        <v>24</v>
      </c>
      <c r="B31" s="12">
        <v>-0.63</v>
      </c>
      <c r="C31" s="12">
        <v>-0.83</v>
      </c>
      <c r="D31" s="12">
        <v>-0.8</v>
      </c>
      <c r="E31" s="12">
        <v>-0.96</v>
      </c>
      <c r="F31" s="12">
        <v>-0.43</v>
      </c>
      <c r="G31" s="12">
        <v>-1.03</v>
      </c>
      <c r="H31" s="12">
        <v>-0.79</v>
      </c>
      <c r="I31" s="38">
        <v>2.44</v>
      </c>
      <c r="J31" s="38">
        <v>3.21</v>
      </c>
      <c r="K31" s="38">
        <v>4.3499999999999996</v>
      </c>
      <c r="L31" s="38">
        <v>5.64</v>
      </c>
      <c r="M31" s="38">
        <v>7.73</v>
      </c>
      <c r="Q31" s="15"/>
    </row>
    <row r="32" spans="1:17" ht="19" x14ac:dyDescent="0.25">
      <c r="A32" s="5" t="s">
        <v>25</v>
      </c>
      <c r="B32" s="12">
        <v>-0.63</v>
      </c>
      <c r="C32" s="12">
        <v>-0.83</v>
      </c>
      <c r="D32" s="12">
        <v>-0.8</v>
      </c>
      <c r="E32" s="12">
        <v>-0.96</v>
      </c>
      <c r="F32" s="12">
        <v>-0.43</v>
      </c>
      <c r="G32" s="12">
        <v>-1.03</v>
      </c>
      <c r="H32" s="12">
        <v>-0.79</v>
      </c>
    </row>
    <row r="33" spans="1:17" ht="19" customHeight="1" x14ac:dyDescent="0.25">
      <c r="A33" s="5" t="s">
        <v>26</v>
      </c>
      <c r="B33" s="1">
        <v>171202000</v>
      </c>
      <c r="C33" s="1">
        <v>171202000</v>
      </c>
      <c r="D33" s="1">
        <v>171202000</v>
      </c>
      <c r="E33" s="1">
        <v>148062000</v>
      </c>
      <c r="F33" s="1">
        <v>217756000</v>
      </c>
      <c r="G33" s="1">
        <v>227142000</v>
      </c>
      <c r="H33" s="1">
        <v>233139000</v>
      </c>
    </row>
    <row r="34" spans="1:17" ht="19" x14ac:dyDescent="0.25">
      <c r="A34" s="5" t="s">
        <v>27</v>
      </c>
      <c r="B34" s="1">
        <v>171202000</v>
      </c>
      <c r="C34" s="1">
        <v>171202000</v>
      </c>
      <c r="D34" s="1">
        <v>171202000</v>
      </c>
      <c r="E34" s="1">
        <v>148062000</v>
      </c>
      <c r="F34" s="1">
        <v>217756000</v>
      </c>
      <c r="G34" s="1">
        <v>227142000</v>
      </c>
      <c r="H34" s="1">
        <v>233139000</v>
      </c>
    </row>
    <row r="35" spans="1:17" ht="20" customHeight="1" x14ac:dyDescent="0.25">
      <c r="A35" s="14" t="s">
        <v>104</v>
      </c>
      <c r="B35" s="1"/>
      <c r="C35" s="22">
        <f>(C34-B34)/B34</f>
        <v>0</v>
      </c>
      <c r="D35" s="22">
        <f t="shared" ref="D35:H35" si="17">(D34-C34)/C34</f>
        <v>0</v>
      </c>
      <c r="E35" s="22">
        <f t="shared" si="17"/>
        <v>-0.13516197240686439</v>
      </c>
      <c r="F35" s="22">
        <f t="shared" si="17"/>
        <v>0.47070821682808556</v>
      </c>
      <c r="G35" s="22">
        <f t="shared" si="17"/>
        <v>4.3103289920828819E-2</v>
      </c>
      <c r="H35" s="22">
        <f t="shared" si="17"/>
        <v>2.6401986422590274E-2</v>
      </c>
    </row>
    <row r="36" spans="1:17" ht="19" x14ac:dyDescent="0.25">
      <c r="A36" s="5" t="s">
        <v>28</v>
      </c>
      <c r="B36" s="13" t="s">
        <v>92</v>
      </c>
      <c r="C36" s="13" t="s">
        <v>92</v>
      </c>
      <c r="D36" s="13" t="s">
        <v>92</v>
      </c>
      <c r="E36" s="13" t="s">
        <v>92</v>
      </c>
      <c r="F36" s="13" t="s">
        <v>92</v>
      </c>
      <c r="G36" s="13" t="s">
        <v>92</v>
      </c>
      <c r="H36" s="13" t="s">
        <v>92</v>
      </c>
    </row>
    <row r="37" spans="1:17" ht="21" x14ac:dyDescent="0.25">
      <c r="A37" s="4" t="s">
        <v>29</v>
      </c>
      <c r="B37" s="9" t="s">
        <v>90</v>
      </c>
      <c r="C37" s="9" t="s">
        <v>90</v>
      </c>
      <c r="D37" s="9" t="s">
        <v>90</v>
      </c>
      <c r="E37" s="9" t="s">
        <v>90</v>
      </c>
      <c r="F37" s="9" t="s">
        <v>90</v>
      </c>
      <c r="G37" s="9" t="s">
        <v>90</v>
      </c>
      <c r="H37" s="9"/>
    </row>
    <row r="38" spans="1:17" ht="19" x14ac:dyDescent="0.25">
      <c r="A38" s="5" t="s">
        <v>30</v>
      </c>
      <c r="B38" s="1" t="s">
        <v>91</v>
      </c>
      <c r="C38" s="1">
        <v>63179000</v>
      </c>
      <c r="D38" s="1">
        <v>88408000</v>
      </c>
      <c r="E38" s="1">
        <v>264798000</v>
      </c>
      <c r="F38" s="1">
        <v>1918608000</v>
      </c>
      <c r="G38" s="1">
        <v>1996633000</v>
      </c>
      <c r="H38" s="1">
        <v>2455369000</v>
      </c>
    </row>
    <row r="39" spans="1:17" ht="19" customHeight="1" x14ac:dyDescent="0.25">
      <c r="A39" s="5" t="s">
        <v>31</v>
      </c>
      <c r="B39" s="1" t="s">
        <v>91</v>
      </c>
      <c r="C39" s="1">
        <v>2593000</v>
      </c>
      <c r="D39" s="1">
        <v>103247000</v>
      </c>
      <c r="E39" s="1">
        <v>647266000</v>
      </c>
      <c r="F39" s="1" t="s">
        <v>91</v>
      </c>
      <c r="G39" s="1" t="s">
        <v>91</v>
      </c>
      <c r="H39" s="1">
        <v>250000000</v>
      </c>
    </row>
    <row r="40" spans="1:17" ht="19" x14ac:dyDescent="0.25">
      <c r="A40" s="5" t="s">
        <v>32</v>
      </c>
      <c r="B40" s="1" t="s">
        <v>91</v>
      </c>
      <c r="C40" s="1">
        <v>65772000</v>
      </c>
      <c r="D40" s="1">
        <v>191655000</v>
      </c>
      <c r="E40" s="1">
        <v>912064000</v>
      </c>
      <c r="F40" s="1">
        <v>1918608000</v>
      </c>
      <c r="G40" s="1">
        <v>1996633000</v>
      </c>
      <c r="H40" s="1">
        <v>2705369000</v>
      </c>
      <c r="Q40" s="15"/>
    </row>
    <row r="41" spans="1:17" ht="19" x14ac:dyDescent="0.25">
      <c r="A41" s="5" t="s">
        <v>33</v>
      </c>
      <c r="B41" s="1" t="s">
        <v>91</v>
      </c>
      <c r="C41" s="1">
        <v>59812000</v>
      </c>
      <c r="D41" s="1">
        <v>92476000</v>
      </c>
      <c r="E41" s="1">
        <v>164987000</v>
      </c>
      <c r="F41" s="1">
        <v>239199000</v>
      </c>
      <c r="G41" s="1">
        <v>368145000</v>
      </c>
      <c r="H41" s="1">
        <v>626181000</v>
      </c>
    </row>
    <row r="42" spans="1:17" ht="19" x14ac:dyDescent="0.25">
      <c r="A42" s="5" t="s">
        <v>34</v>
      </c>
      <c r="B42" s="1" t="s">
        <v>91</v>
      </c>
      <c r="C42" s="1" t="s">
        <v>91</v>
      </c>
      <c r="D42" s="1" t="s">
        <v>91</v>
      </c>
      <c r="E42" s="1" t="s">
        <v>91</v>
      </c>
      <c r="F42" s="1" t="s">
        <v>91</v>
      </c>
      <c r="G42" s="1" t="s">
        <v>91</v>
      </c>
      <c r="H42" s="1" t="s">
        <v>91</v>
      </c>
    </row>
    <row r="43" spans="1:17" ht="19" x14ac:dyDescent="0.25">
      <c r="A43" s="5" t="s">
        <v>35</v>
      </c>
      <c r="B43" s="1" t="s">
        <v>91</v>
      </c>
      <c r="C43" s="1">
        <v>28027000</v>
      </c>
      <c r="D43" s="1">
        <v>47257000</v>
      </c>
      <c r="E43" s="1">
        <v>94585000</v>
      </c>
      <c r="F43" s="1">
        <v>134467000</v>
      </c>
      <c r="G43" s="1">
        <v>206174000</v>
      </c>
      <c r="H43" s="1">
        <v>308717000</v>
      </c>
    </row>
    <row r="44" spans="1:17" ht="20" customHeight="1" x14ac:dyDescent="0.25">
      <c r="A44" s="6" t="s">
        <v>36</v>
      </c>
      <c r="B44" s="10" t="s">
        <v>91</v>
      </c>
      <c r="C44" s="10">
        <v>153611000</v>
      </c>
      <c r="D44" s="10">
        <v>331388000</v>
      </c>
      <c r="E44" s="10">
        <v>1171636000</v>
      </c>
      <c r="F44" s="10">
        <v>2292274000</v>
      </c>
      <c r="G44" s="10">
        <v>2570952000</v>
      </c>
      <c r="H44" s="10">
        <v>3640267000</v>
      </c>
    </row>
    <row r="45" spans="1:17" ht="19" x14ac:dyDescent="0.25">
      <c r="A45" s="5" t="s">
        <v>37</v>
      </c>
      <c r="B45" s="1" t="s">
        <v>91</v>
      </c>
      <c r="C45" s="1">
        <v>40754000</v>
      </c>
      <c r="D45" s="1">
        <v>73735000</v>
      </c>
      <c r="E45" s="1">
        <v>136078000</v>
      </c>
      <c r="F45" s="1">
        <v>203498000</v>
      </c>
      <c r="G45" s="1">
        <v>292312000</v>
      </c>
      <c r="H45" s="1">
        <v>532271000</v>
      </c>
    </row>
    <row r="46" spans="1:17" ht="19" x14ac:dyDescent="0.25">
      <c r="A46" s="5" t="s">
        <v>38</v>
      </c>
      <c r="B46" s="1" t="s">
        <v>91</v>
      </c>
      <c r="C46" s="1">
        <v>8421000</v>
      </c>
      <c r="D46" s="1">
        <v>7947000</v>
      </c>
      <c r="E46" s="1">
        <v>7722000</v>
      </c>
      <c r="F46" s="1">
        <v>83566000</v>
      </c>
      <c r="G46" s="1">
        <v>416445000</v>
      </c>
      <c r="H46" s="1">
        <v>430645000</v>
      </c>
    </row>
    <row r="47" spans="1:17" ht="19" x14ac:dyDescent="0.25">
      <c r="A47" s="5" t="s">
        <v>39</v>
      </c>
      <c r="B47" s="1" t="s">
        <v>91</v>
      </c>
      <c r="C47" s="1">
        <v>1736000</v>
      </c>
      <c r="D47" s="1">
        <v>1048000</v>
      </c>
      <c r="E47" s="1">
        <v>527000</v>
      </c>
      <c r="F47" s="1">
        <v>15677000</v>
      </c>
      <c r="G47" s="1">
        <v>97336000</v>
      </c>
      <c r="H47" s="1">
        <v>86889000</v>
      </c>
    </row>
    <row r="48" spans="1:17" ht="19" x14ac:dyDescent="0.25">
      <c r="A48" s="5" t="s">
        <v>40</v>
      </c>
      <c r="B48" s="1" t="s">
        <v>91</v>
      </c>
      <c r="C48" s="1">
        <v>10157000</v>
      </c>
      <c r="D48" s="1">
        <v>8995000</v>
      </c>
      <c r="E48" s="1">
        <v>8249000</v>
      </c>
      <c r="F48" s="1">
        <v>99243000</v>
      </c>
      <c r="G48" s="1">
        <v>513781000</v>
      </c>
      <c r="H48" s="1">
        <v>517534000</v>
      </c>
    </row>
    <row r="49" spans="1:8" ht="19" x14ac:dyDescent="0.25">
      <c r="A49" s="5" t="s">
        <v>41</v>
      </c>
      <c r="B49" s="1" t="s">
        <v>91</v>
      </c>
      <c r="C49" s="1" t="s">
        <v>91</v>
      </c>
      <c r="D49" s="1" t="s">
        <v>91</v>
      </c>
      <c r="E49" s="1">
        <v>1000000</v>
      </c>
      <c r="F49" s="1">
        <v>2500000</v>
      </c>
      <c r="G49" s="1">
        <v>23632000</v>
      </c>
      <c r="H49" s="1">
        <v>47270000</v>
      </c>
    </row>
    <row r="50" spans="1:8" ht="19" x14ac:dyDescent="0.25">
      <c r="A50" s="5" t="s">
        <v>42</v>
      </c>
      <c r="B50" s="1" t="s">
        <v>91</v>
      </c>
      <c r="C50" s="1" t="s">
        <v>91</v>
      </c>
      <c r="D50" s="1" t="s">
        <v>91</v>
      </c>
      <c r="E50" s="1" t="s">
        <v>91</v>
      </c>
      <c r="F50" s="1" t="s">
        <v>91</v>
      </c>
      <c r="G50" s="1" t="s">
        <v>91</v>
      </c>
      <c r="H50" s="1" t="s">
        <v>91</v>
      </c>
    </row>
    <row r="51" spans="1:8" ht="19" x14ac:dyDescent="0.25">
      <c r="A51" s="5" t="s">
        <v>43</v>
      </c>
      <c r="B51" s="1" t="s">
        <v>91</v>
      </c>
      <c r="C51" s="1">
        <v>13181000</v>
      </c>
      <c r="D51" s="1">
        <v>19101000</v>
      </c>
      <c r="E51" s="1">
        <v>87943000</v>
      </c>
      <c r="F51" s="1">
        <v>135018000</v>
      </c>
      <c r="G51" s="1">
        <v>217704000</v>
      </c>
      <c r="H51" s="1">
        <v>289198000</v>
      </c>
    </row>
    <row r="52" spans="1:8" ht="19" x14ac:dyDescent="0.25">
      <c r="A52" s="5" t="s">
        <v>44</v>
      </c>
      <c r="B52" s="1" t="s">
        <v>91</v>
      </c>
      <c r="C52" s="1">
        <v>64092000</v>
      </c>
      <c r="D52" s="1">
        <v>101831000</v>
      </c>
      <c r="E52" s="1">
        <v>233270000</v>
      </c>
      <c r="F52" s="1">
        <v>440259000</v>
      </c>
      <c r="G52" s="1">
        <v>1047429000</v>
      </c>
      <c r="H52" s="1">
        <v>1386273000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217703000</v>
      </c>
      <c r="D54" s="11">
        <v>433219000</v>
      </c>
      <c r="E54" s="11">
        <v>1404906000</v>
      </c>
      <c r="F54" s="11">
        <v>2732533000</v>
      </c>
      <c r="G54" s="11">
        <v>3618381000</v>
      </c>
      <c r="H54" s="11">
        <v>5026540000</v>
      </c>
    </row>
    <row r="55" spans="1:8" ht="20" thickTop="1" x14ac:dyDescent="0.25">
      <c r="A55" s="5" t="s">
        <v>47</v>
      </c>
      <c r="B55" s="1" t="s">
        <v>91</v>
      </c>
      <c r="C55" s="1">
        <v>12261000</v>
      </c>
      <c r="D55" s="1">
        <v>6855000</v>
      </c>
      <c r="E55" s="1">
        <v>1345000</v>
      </c>
      <c r="F55" s="1">
        <v>12065000</v>
      </c>
      <c r="G55" s="1">
        <v>47634000</v>
      </c>
      <c r="H55" s="1">
        <v>45372000</v>
      </c>
    </row>
    <row r="56" spans="1:8" ht="19" x14ac:dyDescent="0.25">
      <c r="A56" s="5" t="s">
        <v>48</v>
      </c>
      <c r="B56" s="1" t="s">
        <v>91</v>
      </c>
      <c r="C56" s="1" t="s">
        <v>91</v>
      </c>
      <c r="D56" s="1" t="s">
        <v>91</v>
      </c>
      <c r="E56" s="1" t="s">
        <v>91</v>
      </c>
      <c r="F56" s="1">
        <v>8977000</v>
      </c>
      <c r="G56" s="1">
        <v>9820000</v>
      </c>
      <c r="H56" s="1">
        <v>13046000</v>
      </c>
    </row>
    <row r="57" spans="1:8" ht="19" x14ac:dyDescent="0.25">
      <c r="A57" s="5" t="s">
        <v>49</v>
      </c>
      <c r="B57" s="1" t="s">
        <v>91</v>
      </c>
      <c r="C57" s="1" t="s">
        <v>91</v>
      </c>
      <c r="D57" s="1" t="s">
        <v>91</v>
      </c>
      <c r="E57" s="1" t="s">
        <v>91</v>
      </c>
      <c r="F57" s="1" t="s">
        <v>91</v>
      </c>
      <c r="G57" s="1" t="s">
        <v>91</v>
      </c>
      <c r="H57" s="1" t="s">
        <v>91</v>
      </c>
    </row>
    <row r="58" spans="1:8" ht="19" x14ac:dyDescent="0.25">
      <c r="A58" s="5" t="s">
        <v>50</v>
      </c>
      <c r="B58" s="1" t="s">
        <v>91</v>
      </c>
      <c r="C58" s="1">
        <v>109003000</v>
      </c>
      <c r="D58" s="1">
        <v>218700000</v>
      </c>
      <c r="E58" s="1">
        <v>412985000</v>
      </c>
      <c r="F58" s="1">
        <v>701988000</v>
      </c>
      <c r="G58" s="1">
        <v>1136502000</v>
      </c>
      <c r="H58" s="1">
        <v>1727484000</v>
      </c>
    </row>
    <row r="59" spans="1:8" ht="19" x14ac:dyDescent="0.25">
      <c r="A59" s="5" t="s">
        <v>51</v>
      </c>
      <c r="B59" s="1" t="s">
        <v>91</v>
      </c>
      <c r="C59" s="1">
        <v>44626000</v>
      </c>
      <c r="D59" s="1">
        <v>55865000</v>
      </c>
      <c r="E59" s="1">
        <v>78766000</v>
      </c>
      <c r="F59" s="1">
        <v>140523000</v>
      </c>
      <c r="G59" s="1">
        <v>212874000</v>
      </c>
      <c r="H59" s="1">
        <v>323170000</v>
      </c>
    </row>
    <row r="60" spans="1:8" ht="19" x14ac:dyDescent="0.25">
      <c r="A60" s="6" t="s">
        <v>52</v>
      </c>
      <c r="B60" s="10" t="s">
        <v>91</v>
      </c>
      <c r="C60" s="10">
        <v>165890000</v>
      </c>
      <c r="D60" s="10">
        <v>281420000</v>
      </c>
      <c r="E60" s="10">
        <v>493096000</v>
      </c>
      <c r="F60" s="10">
        <v>863553000</v>
      </c>
      <c r="G60" s="10">
        <v>1406830000</v>
      </c>
      <c r="H60" s="10">
        <v>2109072000</v>
      </c>
    </row>
    <row r="61" spans="1:8" ht="19" x14ac:dyDescent="0.25">
      <c r="A61" s="5" t="s">
        <v>53</v>
      </c>
      <c r="B61" s="1" t="s">
        <v>91</v>
      </c>
      <c r="C61" s="1">
        <v>15971000</v>
      </c>
      <c r="D61" s="1" t="s">
        <v>91</v>
      </c>
      <c r="E61" s="1" t="s">
        <v>91</v>
      </c>
      <c r="F61" s="1">
        <v>770015000</v>
      </c>
      <c r="G61" s="1">
        <v>764896000</v>
      </c>
      <c r="H61" s="1">
        <v>770572000</v>
      </c>
    </row>
    <row r="62" spans="1:8" ht="19" x14ac:dyDescent="0.25">
      <c r="A62" s="5" t="s">
        <v>50</v>
      </c>
      <c r="B62" s="1" t="s">
        <v>91</v>
      </c>
      <c r="C62" s="1">
        <v>49947000</v>
      </c>
      <c r="D62" s="1">
        <v>71367000</v>
      </c>
      <c r="E62" s="1">
        <v>158183000</v>
      </c>
      <c r="F62" s="1">
        <v>209907000</v>
      </c>
      <c r="G62" s="1">
        <v>392819000</v>
      </c>
      <c r="H62" s="1">
        <v>627629000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355369000</v>
      </c>
      <c r="D64" s="1">
        <v>5776000</v>
      </c>
      <c r="E64" s="1">
        <v>11020000</v>
      </c>
      <c r="F64" s="1">
        <v>17184000</v>
      </c>
      <c r="G64" s="1">
        <v>16193000</v>
      </c>
      <c r="H64" s="1">
        <v>31833000</v>
      </c>
    </row>
    <row r="65" spans="1:17" ht="19" x14ac:dyDescent="0.25">
      <c r="A65" s="5" t="s">
        <v>56</v>
      </c>
      <c r="B65" s="1" t="s">
        <v>91</v>
      </c>
      <c r="C65" s="1">
        <v>421287000</v>
      </c>
      <c r="D65" s="1">
        <v>77143000</v>
      </c>
      <c r="E65" s="1">
        <v>169203000</v>
      </c>
      <c r="F65" s="1">
        <v>997106000</v>
      </c>
      <c r="G65" s="1">
        <v>1173908000</v>
      </c>
      <c r="H65" s="1">
        <v>1430034000</v>
      </c>
    </row>
    <row r="66" spans="1:17" ht="19" x14ac:dyDescent="0.25">
      <c r="A66" s="5" t="s">
        <v>57</v>
      </c>
      <c r="B66" s="1" t="s">
        <v>91</v>
      </c>
      <c r="C66" s="1" t="s">
        <v>91</v>
      </c>
      <c r="D66" s="1" t="s">
        <v>91</v>
      </c>
      <c r="E66" s="1" t="s">
        <v>91</v>
      </c>
      <c r="F66" s="1" t="s">
        <v>91</v>
      </c>
      <c r="G66" s="1" t="s">
        <v>91</v>
      </c>
      <c r="H66" s="1" t="s">
        <v>91</v>
      </c>
    </row>
    <row r="67" spans="1:17" ht="19" x14ac:dyDescent="0.25">
      <c r="A67" s="6" t="s">
        <v>58</v>
      </c>
      <c r="B67" s="10" t="s">
        <v>91</v>
      </c>
      <c r="C67" s="10">
        <v>587177000</v>
      </c>
      <c r="D67" s="10">
        <v>358563000</v>
      </c>
      <c r="E67" s="10">
        <v>662299000</v>
      </c>
      <c r="F67" s="10">
        <v>1860659000</v>
      </c>
      <c r="G67" s="10">
        <v>2580738000</v>
      </c>
      <c r="H67" s="10">
        <v>3539106000</v>
      </c>
    </row>
    <row r="68" spans="1:17" ht="19" x14ac:dyDescent="0.25">
      <c r="A68" s="5" t="s">
        <v>59</v>
      </c>
      <c r="B68" s="1" t="s">
        <v>91</v>
      </c>
      <c r="C68" s="1">
        <v>22000</v>
      </c>
      <c r="D68" s="1">
        <v>90000</v>
      </c>
      <c r="E68" s="1">
        <v>106000</v>
      </c>
      <c r="F68" s="1">
        <v>112000</v>
      </c>
      <c r="G68" s="1">
        <v>115000</v>
      </c>
      <c r="H68" s="1">
        <v>118000</v>
      </c>
    </row>
    <row r="69" spans="1:17" ht="19" x14ac:dyDescent="0.25">
      <c r="A69" s="5" t="s">
        <v>60</v>
      </c>
      <c r="B69" s="1" t="s">
        <v>91</v>
      </c>
      <c r="C69" s="1">
        <v>-378948000</v>
      </c>
      <c r="D69" s="1">
        <v>-529488000</v>
      </c>
      <c r="E69" s="1">
        <v>-637487000</v>
      </c>
      <c r="F69" s="1">
        <v>-730116000</v>
      </c>
      <c r="G69" s="1">
        <v>-964918000</v>
      </c>
      <c r="H69" s="1">
        <v>-1148163000</v>
      </c>
    </row>
    <row r="70" spans="1:17" ht="19" x14ac:dyDescent="0.25">
      <c r="A70" s="5" t="s">
        <v>61</v>
      </c>
      <c r="B70" s="1" t="s">
        <v>91</v>
      </c>
      <c r="C70" s="1">
        <v>970000</v>
      </c>
      <c r="D70" s="1">
        <v>98000</v>
      </c>
      <c r="E70" s="1">
        <v>1009000</v>
      </c>
      <c r="F70" s="1">
        <v>2319000</v>
      </c>
      <c r="G70" s="1">
        <v>-1240000</v>
      </c>
      <c r="H70" s="1">
        <v>-1019000</v>
      </c>
    </row>
    <row r="71" spans="1:17" ht="19" x14ac:dyDescent="0.25">
      <c r="A71" s="5" t="s">
        <v>62</v>
      </c>
      <c r="B71" s="1" t="s">
        <v>91</v>
      </c>
      <c r="C71" s="1">
        <v>8482000</v>
      </c>
      <c r="D71" s="1">
        <v>603956000</v>
      </c>
      <c r="E71" s="1">
        <v>1378479000</v>
      </c>
      <c r="F71" s="1">
        <v>1598259000</v>
      </c>
      <c r="G71" s="1">
        <v>2003686000</v>
      </c>
      <c r="H71" s="1">
        <v>2612705000</v>
      </c>
    </row>
    <row r="72" spans="1:17" ht="19" x14ac:dyDescent="0.25">
      <c r="A72" s="6" t="s">
        <v>63</v>
      </c>
      <c r="B72" s="10" t="s">
        <v>91</v>
      </c>
      <c r="C72" s="10">
        <v>-369474000</v>
      </c>
      <c r="D72" s="10">
        <v>74656000</v>
      </c>
      <c r="E72" s="10">
        <v>742107000</v>
      </c>
      <c r="F72" s="10">
        <v>870574000</v>
      </c>
      <c r="G72" s="10">
        <v>1037643000</v>
      </c>
      <c r="H72" s="10">
        <v>1463641000</v>
      </c>
      <c r="N72" s="25"/>
    </row>
    <row r="73" spans="1:17" ht="20" thickBot="1" x14ac:dyDescent="0.3">
      <c r="A73" s="7" t="s">
        <v>64</v>
      </c>
      <c r="B73" s="11" t="s">
        <v>91</v>
      </c>
      <c r="C73" s="11">
        <v>217703000</v>
      </c>
      <c r="D73" s="11">
        <v>433219000</v>
      </c>
      <c r="E73" s="11">
        <v>1404406000</v>
      </c>
      <c r="F73" s="11">
        <v>2731233000</v>
      </c>
      <c r="G73" s="11">
        <v>3618381000</v>
      </c>
      <c r="H73" s="11">
        <v>5002747000</v>
      </c>
    </row>
    <row r="74" spans="1:17" ht="20" thickTop="1" x14ac:dyDescent="0.25">
      <c r="A74" s="5" t="s">
        <v>28</v>
      </c>
      <c r="B74" s="13" t="s">
        <v>92</v>
      </c>
      <c r="C74" s="13" t="s">
        <v>92</v>
      </c>
      <c r="D74" s="13" t="s">
        <v>92</v>
      </c>
      <c r="E74" s="13" t="s">
        <v>92</v>
      </c>
      <c r="F74" s="13" t="s">
        <v>92</v>
      </c>
      <c r="G74" s="13" t="s">
        <v>92</v>
      </c>
      <c r="H74" s="13" t="s">
        <v>92</v>
      </c>
    </row>
    <row r="75" spans="1:17" ht="21" x14ac:dyDescent="0.25">
      <c r="A75" s="4" t="s">
        <v>65</v>
      </c>
      <c r="B75" s="9" t="s">
        <v>90</v>
      </c>
      <c r="C75" s="9" t="s">
        <v>90</v>
      </c>
      <c r="D75" s="9" t="s">
        <v>90</v>
      </c>
      <c r="E75" s="9" t="s">
        <v>90</v>
      </c>
      <c r="F75" s="9" t="s">
        <v>90</v>
      </c>
      <c r="G75" s="9" t="s">
        <v>90</v>
      </c>
      <c r="H75" s="9"/>
    </row>
    <row r="76" spans="1:17" ht="19" x14ac:dyDescent="0.25">
      <c r="A76" s="5" t="s">
        <v>66</v>
      </c>
      <c r="B76" s="1">
        <v>-91340000</v>
      </c>
      <c r="C76" s="1">
        <v>-135490000</v>
      </c>
      <c r="D76" s="1">
        <v>-140077000</v>
      </c>
      <c r="E76" s="1">
        <v>-141779000</v>
      </c>
      <c r="F76" s="1">
        <v>-92629000</v>
      </c>
      <c r="G76" s="1">
        <v>-232378000</v>
      </c>
      <c r="H76" s="1">
        <v>-182285000</v>
      </c>
    </row>
    <row r="77" spans="1:17" ht="19" x14ac:dyDescent="0.25">
      <c r="A77" s="5" t="s">
        <v>13</v>
      </c>
      <c r="B77" s="1">
        <v>3021000</v>
      </c>
      <c r="C77" s="1">
        <v>7739000</v>
      </c>
      <c r="D77" s="1">
        <v>15398000</v>
      </c>
      <c r="E77" s="1">
        <v>23513000</v>
      </c>
      <c r="F77" s="1">
        <v>40143000</v>
      </c>
      <c r="G77" s="1">
        <v>68810000</v>
      </c>
      <c r="H77" s="1">
        <v>93810000</v>
      </c>
    </row>
    <row r="78" spans="1:17" ht="19" x14ac:dyDescent="0.25">
      <c r="A78" s="5" t="s">
        <v>67</v>
      </c>
      <c r="B78" s="1" t="s">
        <v>91</v>
      </c>
      <c r="C78" s="1" t="s">
        <v>91</v>
      </c>
      <c r="D78" s="1" t="s">
        <v>91</v>
      </c>
      <c r="E78" s="1" t="s">
        <v>91</v>
      </c>
      <c r="F78" s="1" t="s">
        <v>91</v>
      </c>
      <c r="G78" s="1">
        <v>-13956000</v>
      </c>
      <c r="H78" s="1">
        <v>1306000</v>
      </c>
    </row>
    <row r="79" spans="1:17" ht="19" x14ac:dyDescent="0.25">
      <c r="A79" s="5" t="s">
        <v>68</v>
      </c>
      <c r="B79" s="1">
        <v>1994000</v>
      </c>
      <c r="C79" s="1">
        <v>12343000</v>
      </c>
      <c r="D79" s="1">
        <v>20505000</v>
      </c>
      <c r="E79" s="1">
        <v>79940000</v>
      </c>
      <c r="F79" s="1">
        <v>149675000</v>
      </c>
      <c r="G79" s="1">
        <v>309952000</v>
      </c>
      <c r="H79" s="1">
        <v>526504000</v>
      </c>
    </row>
    <row r="80" spans="1:17" ht="19" x14ac:dyDescent="0.25">
      <c r="A80" s="14" t="s">
        <v>106</v>
      </c>
      <c r="B80" s="15">
        <f t="shared" ref="B80:H80" si="18">B79/B3</f>
        <v>3.780453123518817E-2</v>
      </c>
      <c r="C80" s="15">
        <f t="shared" si="18"/>
        <v>0.10393930207491242</v>
      </c>
      <c r="D80" s="15">
        <f t="shared" si="18"/>
        <v>8.2077782759062384E-2</v>
      </c>
      <c r="E80" s="15">
        <f t="shared" si="18"/>
        <v>0.16605284859361921</v>
      </c>
      <c r="F80" s="15">
        <f t="shared" si="18"/>
        <v>0.17116708102804315</v>
      </c>
      <c r="G80" s="15">
        <f t="shared" si="18"/>
        <v>0.21352526946239789</v>
      </c>
      <c r="H80" s="15">
        <f t="shared" si="18"/>
        <v>0.23491680483447527</v>
      </c>
      <c r="I80" s="15"/>
      <c r="J80" s="15"/>
      <c r="N80" s="15"/>
      <c r="O80" s="15"/>
      <c r="P80" s="15"/>
      <c r="Q80" s="15"/>
    </row>
    <row r="81" spans="1:17" ht="19" x14ac:dyDescent="0.25">
      <c r="A81" s="5" t="s">
        <v>69</v>
      </c>
      <c r="B81" s="1">
        <v>29080000</v>
      </c>
      <c r="C81" s="1">
        <v>42461000</v>
      </c>
      <c r="D81" s="1">
        <v>49300000</v>
      </c>
      <c r="E81" s="1">
        <v>97471000</v>
      </c>
      <c r="F81" s="1">
        <v>185611000</v>
      </c>
      <c r="G81" s="1">
        <v>321723000</v>
      </c>
      <c r="H81" s="1">
        <v>501672000</v>
      </c>
    </row>
    <row r="82" spans="1:17" ht="19" x14ac:dyDescent="0.25">
      <c r="A82" s="5" t="s">
        <v>70</v>
      </c>
      <c r="B82" s="1">
        <v>-8464000</v>
      </c>
      <c r="C82" s="1">
        <v>-35268000</v>
      </c>
      <c r="D82" s="1">
        <v>-33413000</v>
      </c>
      <c r="E82" s="1">
        <v>-73067000</v>
      </c>
      <c r="F82" s="1">
        <v>-72478000</v>
      </c>
      <c r="G82" s="1">
        <v>-125354000</v>
      </c>
      <c r="H82" s="1">
        <v>-258109000</v>
      </c>
    </row>
    <row r="83" spans="1:17" ht="19" customHeight="1" x14ac:dyDescent="0.25">
      <c r="A83" s="5" t="s">
        <v>34</v>
      </c>
      <c r="B83" s="1" t="s">
        <v>91</v>
      </c>
      <c r="C83" s="1" t="s">
        <v>91</v>
      </c>
      <c r="D83" s="1" t="s">
        <v>91</v>
      </c>
      <c r="E83" s="1" t="s">
        <v>91</v>
      </c>
      <c r="F83" s="1" t="s">
        <v>91</v>
      </c>
      <c r="G83" s="1" t="s">
        <v>91</v>
      </c>
      <c r="H83" s="1" t="s">
        <v>91</v>
      </c>
      <c r="O83" s="68" t="s">
        <v>122</v>
      </c>
      <c r="P83" s="69"/>
    </row>
    <row r="84" spans="1:17" ht="19" customHeight="1" x14ac:dyDescent="0.25">
      <c r="A84" s="5" t="s">
        <v>47</v>
      </c>
      <c r="B84" s="1" t="s">
        <v>91</v>
      </c>
      <c r="C84" s="1" t="s">
        <v>91</v>
      </c>
      <c r="D84" s="1" t="s">
        <v>91</v>
      </c>
      <c r="E84" s="1" t="s">
        <v>91</v>
      </c>
      <c r="F84" s="1">
        <v>11325000</v>
      </c>
      <c r="G84" s="1">
        <v>33248000</v>
      </c>
      <c r="H84" s="1">
        <v>-15463000</v>
      </c>
      <c r="O84" s="70" t="s">
        <v>123</v>
      </c>
      <c r="P84" s="70"/>
    </row>
    <row r="85" spans="1:17" ht="20" x14ac:dyDescent="0.25">
      <c r="A85" s="5" t="s">
        <v>71</v>
      </c>
      <c r="B85" s="1">
        <v>27984000</v>
      </c>
      <c r="C85" s="1">
        <v>57703000</v>
      </c>
      <c r="D85" s="1">
        <v>83680000</v>
      </c>
      <c r="E85" s="1">
        <v>193876000</v>
      </c>
      <c r="F85" s="1">
        <v>187828000</v>
      </c>
      <c r="G85" s="1">
        <v>382100000</v>
      </c>
      <c r="H85" s="1" t="s">
        <v>91</v>
      </c>
      <c r="O85" s="46" t="s">
        <v>101</v>
      </c>
      <c r="P85" s="47">
        <f>H17</f>
        <v>25319000</v>
      </c>
    </row>
    <row r="86" spans="1:17" ht="19" customHeight="1" x14ac:dyDescent="0.25">
      <c r="A86" s="5" t="s">
        <v>72</v>
      </c>
      <c r="B86" s="1">
        <v>5247000</v>
      </c>
      <c r="C86" s="1">
        <v>14181000</v>
      </c>
      <c r="D86" s="1">
        <v>31906000</v>
      </c>
      <c r="E86" s="1">
        <v>40798000</v>
      </c>
      <c r="F86" s="1">
        <v>73766000</v>
      </c>
      <c r="G86" s="1">
        <v>120633000</v>
      </c>
      <c r="H86" s="1" t="s">
        <v>91</v>
      </c>
      <c r="O86" s="46" t="s">
        <v>124</v>
      </c>
      <c r="P86" s="47">
        <f>H56</f>
        <v>13046000</v>
      </c>
    </row>
    <row r="87" spans="1:17" ht="20" x14ac:dyDescent="0.25">
      <c r="A87" s="6" t="s">
        <v>73</v>
      </c>
      <c r="B87" s="10">
        <v>-51998000</v>
      </c>
      <c r="C87" s="10">
        <v>-58766000</v>
      </c>
      <c r="D87" s="10">
        <v>-22968000</v>
      </c>
      <c r="E87" s="10">
        <v>99943000</v>
      </c>
      <c r="F87" s="10">
        <v>356566000</v>
      </c>
      <c r="G87" s="10">
        <v>574784000</v>
      </c>
      <c r="H87" s="10">
        <v>941007000</v>
      </c>
      <c r="O87" s="46" t="s">
        <v>125</v>
      </c>
      <c r="P87" s="47">
        <f>H61</f>
        <v>770572000</v>
      </c>
    </row>
    <row r="88" spans="1:17" ht="20" x14ac:dyDescent="0.25">
      <c r="A88" s="5" t="s">
        <v>74</v>
      </c>
      <c r="B88" s="1">
        <v>-6591000</v>
      </c>
      <c r="C88" s="1">
        <v>-22906000</v>
      </c>
      <c r="D88" s="1">
        <v>-35851000</v>
      </c>
      <c r="E88" s="1">
        <v>-80198000</v>
      </c>
      <c r="F88" s="1">
        <v>-52799000</v>
      </c>
      <c r="G88" s="1">
        <v>-112143000</v>
      </c>
      <c r="H88" s="1">
        <v>-235019000</v>
      </c>
      <c r="O88" s="48" t="s">
        <v>126</v>
      </c>
      <c r="P88" s="49">
        <f>P85/(P86+P87)</f>
        <v>3.231038592783729E-2</v>
      </c>
    </row>
    <row r="89" spans="1:17" ht="20" x14ac:dyDescent="0.25">
      <c r="A89" s="14" t="s">
        <v>107</v>
      </c>
      <c r="B89" s="15">
        <f t="shared" ref="B89:H89" si="19">(-1*B88)/B3</f>
        <v>0.12495971182102569</v>
      </c>
      <c r="C89" s="15">
        <f t="shared" si="19"/>
        <v>0.19288938291565616</v>
      </c>
      <c r="D89" s="15">
        <f t="shared" si="19"/>
        <v>0.14350502753938774</v>
      </c>
      <c r="E89" s="15">
        <f t="shared" si="19"/>
        <v>0.16658877097211749</v>
      </c>
      <c r="F89" s="15">
        <f t="shared" si="19"/>
        <v>6.038049581559813E-2</v>
      </c>
      <c r="G89" s="15">
        <f t="shared" si="19"/>
        <v>7.725507269939115E-2</v>
      </c>
      <c r="H89" s="15">
        <f t="shared" si="19"/>
        <v>0.10486133544169378</v>
      </c>
      <c r="I89" s="15"/>
      <c r="J89" s="15"/>
      <c r="O89" s="46" t="s">
        <v>127</v>
      </c>
      <c r="P89" s="47">
        <f>H27</f>
        <v>22402000</v>
      </c>
      <c r="Q89" s="15"/>
    </row>
    <row r="90" spans="1:17" ht="20" x14ac:dyDescent="0.25">
      <c r="A90" s="5" t="s">
        <v>75</v>
      </c>
      <c r="B90" s="1" t="s">
        <v>91</v>
      </c>
      <c r="C90" s="1">
        <v>-6471000</v>
      </c>
      <c r="D90" s="1" t="s">
        <v>91</v>
      </c>
      <c r="E90" s="1" t="s">
        <v>91</v>
      </c>
      <c r="F90" s="1">
        <v>-85517000</v>
      </c>
      <c r="G90" s="1">
        <v>-414518000</v>
      </c>
      <c r="H90" s="1">
        <v>-18349000</v>
      </c>
      <c r="O90" s="46" t="s">
        <v>19</v>
      </c>
      <c r="P90" s="47">
        <f>H25</f>
        <v>-159883000</v>
      </c>
    </row>
    <row r="91" spans="1:17" ht="20" x14ac:dyDescent="0.25">
      <c r="A91" s="5" t="s">
        <v>76</v>
      </c>
      <c r="B91" s="1">
        <v>-12072000</v>
      </c>
      <c r="C91" s="1">
        <v>-9559000</v>
      </c>
      <c r="D91" s="1">
        <v>-199335000</v>
      </c>
      <c r="E91" s="1">
        <v>-780701000</v>
      </c>
      <c r="F91" s="1">
        <v>-86404000</v>
      </c>
      <c r="G91" s="1">
        <v>-16309000</v>
      </c>
      <c r="H91" s="1">
        <v>-271872000</v>
      </c>
      <c r="O91" s="48" t="s">
        <v>128</v>
      </c>
      <c r="P91" s="49">
        <f>P89/P90</f>
        <v>-0.14011495906381541</v>
      </c>
    </row>
    <row r="92" spans="1:17" ht="19" customHeight="1" x14ac:dyDescent="0.25">
      <c r="A92" s="5" t="s">
        <v>77</v>
      </c>
      <c r="B92" s="1">
        <v>12865000</v>
      </c>
      <c r="C92" s="1">
        <v>17455000</v>
      </c>
      <c r="D92" s="1">
        <v>99950000</v>
      </c>
      <c r="E92" s="1">
        <v>238557000</v>
      </c>
      <c r="F92" s="1">
        <v>731191000</v>
      </c>
      <c r="G92" s="1" t="s">
        <v>91</v>
      </c>
      <c r="H92" s="1" t="s">
        <v>91</v>
      </c>
      <c r="O92" s="48" t="s">
        <v>129</v>
      </c>
      <c r="P92" s="49">
        <f>P88*(1-P91)</f>
        <v>3.6837554329452286E-2</v>
      </c>
    </row>
    <row r="93" spans="1:17" ht="19" customHeight="1" x14ac:dyDescent="0.25">
      <c r="A93" s="5" t="s">
        <v>78</v>
      </c>
      <c r="B93" s="1">
        <v>-6056000</v>
      </c>
      <c r="C93" s="1">
        <v>-6849000</v>
      </c>
      <c r="D93" s="1">
        <v>-6794000</v>
      </c>
      <c r="E93" s="1">
        <v>-7289000</v>
      </c>
      <c r="F93" s="1">
        <v>-11044000</v>
      </c>
      <c r="G93" s="1">
        <v>-21546000</v>
      </c>
      <c r="H93" s="1">
        <v>-31418000</v>
      </c>
      <c r="O93" s="70" t="s">
        <v>130</v>
      </c>
      <c r="P93" s="70"/>
    </row>
    <row r="94" spans="1:17" ht="20" x14ac:dyDescent="0.25">
      <c r="A94" s="6" t="s">
        <v>79</v>
      </c>
      <c r="B94" s="10">
        <v>-11854000</v>
      </c>
      <c r="C94" s="10">
        <v>-28330000</v>
      </c>
      <c r="D94" s="10">
        <v>-142030000</v>
      </c>
      <c r="E94" s="10">
        <v>-629631000</v>
      </c>
      <c r="F94" s="10">
        <v>495427000</v>
      </c>
      <c r="G94" s="10">
        <v>-564516000</v>
      </c>
      <c r="H94" s="10">
        <v>-556658000</v>
      </c>
      <c r="O94" s="46" t="s">
        <v>103</v>
      </c>
      <c r="P94" s="50">
        <f>[1]Treasuries!$C$8</f>
        <v>3.9120000000000002E-2</v>
      </c>
    </row>
    <row r="95" spans="1:17" ht="20" x14ac:dyDescent="0.25">
      <c r="A95" s="5" t="s">
        <v>80</v>
      </c>
      <c r="B95" s="1">
        <v>-2400000</v>
      </c>
      <c r="C95" s="1">
        <v>-19324000</v>
      </c>
      <c r="D95" s="1">
        <v>-26158000</v>
      </c>
      <c r="E95" s="1" t="s">
        <v>91</v>
      </c>
      <c r="F95" s="1" t="s">
        <v>91</v>
      </c>
      <c r="G95" s="1">
        <v>-219000</v>
      </c>
      <c r="H95" s="1" t="s">
        <v>91</v>
      </c>
      <c r="O95" s="46" t="s">
        <v>131</v>
      </c>
      <c r="P95" s="51" cm="1">
        <f t="array" ref="P95">_FV(A1,"Beta")</f>
        <v>0.9516</v>
      </c>
    </row>
    <row r="96" spans="1:17" ht="20" x14ac:dyDescent="0.25">
      <c r="A96" s="5" t="s">
        <v>81</v>
      </c>
      <c r="B96" s="1" t="s">
        <v>91</v>
      </c>
      <c r="C96" s="1" t="s">
        <v>91</v>
      </c>
      <c r="D96" s="1" t="s">
        <v>91</v>
      </c>
      <c r="E96" s="1">
        <v>665092000</v>
      </c>
      <c r="F96" s="1" t="s">
        <v>91</v>
      </c>
      <c r="G96" s="1">
        <v>15899000</v>
      </c>
      <c r="H96" s="1" t="s">
        <v>91</v>
      </c>
      <c r="O96" s="46" t="s">
        <v>132</v>
      </c>
      <c r="P96" s="50">
        <v>8.4000000000000005E-2</v>
      </c>
    </row>
    <row r="97" spans="1:17" ht="19" customHeight="1" x14ac:dyDescent="0.25">
      <c r="A97" s="5" t="s">
        <v>82</v>
      </c>
      <c r="B97" s="1" t="s">
        <v>91</v>
      </c>
      <c r="C97" s="1" t="s">
        <v>91</v>
      </c>
      <c r="D97" s="1" t="s">
        <v>91</v>
      </c>
      <c r="E97" s="1" t="s">
        <v>91</v>
      </c>
      <c r="F97" s="1" t="s">
        <v>91</v>
      </c>
      <c r="G97" s="1" t="s">
        <v>91</v>
      </c>
      <c r="H97" s="1" t="s">
        <v>91</v>
      </c>
      <c r="O97" s="48" t="s">
        <v>133</v>
      </c>
      <c r="P97" s="49">
        <f>(P94)+((P95)*(P96-P94))</f>
        <v>8.1827808000000002E-2</v>
      </c>
    </row>
    <row r="98" spans="1:17" ht="19" customHeight="1" x14ac:dyDescent="0.25">
      <c r="A98" s="5" t="s">
        <v>83</v>
      </c>
      <c r="B98" s="28">
        <v>0</v>
      </c>
      <c r="C98" s="28">
        <v>0</v>
      </c>
      <c r="D98" s="28">
        <v>0</v>
      </c>
      <c r="E98" s="28">
        <v>0</v>
      </c>
      <c r="F98" s="28">
        <v>0</v>
      </c>
      <c r="G98" s="28">
        <v>0</v>
      </c>
      <c r="H98" s="1">
        <v>0</v>
      </c>
      <c r="O98" s="70" t="s">
        <v>134</v>
      </c>
      <c r="P98" s="70"/>
    </row>
    <row r="99" spans="1:17" ht="20" x14ac:dyDescent="0.25">
      <c r="A99" s="5" t="s">
        <v>84</v>
      </c>
      <c r="B99" s="1">
        <v>19860000</v>
      </c>
      <c r="C99" s="1">
        <v>146155000</v>
      </c>
      <c r="D99" s="1">
        <v>216547000</v>
      </c>
      <c r="E99" s="1">
        <v>41052000</v>
      </c>
      <c r="F99" s="1">
        <v>800135000</v>
      </c>
      <c r="G99" s="1">
        <v>56851000</v>
      </c>
      <c r="H99" s="1">
        <v>77437000</v>
      </c>
      <c r="O99" s="46" t="s">
        <v>135</v>
      </c>
      <c r="P99" s="47">
        <f>P86+P87</f>
        <v>783618000</v>
      </c>
    </row>
    <row r="100" spans="1:17" ht="20" x14ac:dyDescent="0.25">
      <c r="A100" s="6" t="s">
        <v>85</v>
      </c>
      <c r="B100" s="10">
        <v>17460000</v>
      </c>
      <c r="C100" s="10">
        <v>126831000</v>
      </c>
      <c r="D100" s="10">
        <v>190389000</v>
      </c>
      <c r="E100" s="10">
        <v>706144000</v>
      </c>
      <c r="F100" s="10">
        <v>800135000</v>
      </c>
      <c r="G100" s="10">
        <v>72531000</v>
      </c>
      <c r="H100" s="10">
        <v>77437000</v>
      </c>
      <c r="O100" s="48" t="s">
        <v>105</v>
      </c>
      <c r="P100" s="49">
        <f>P99/P103</f>
        <v>2.1426274698117739E-2</v>
      </c>
    </row>
    <row r="101" spans="1:17" ht="20" x14ac:dyDescent="0.25">
      <c r="A101" s="5" t="s">
        <v>86</v>
      </c>
      <c r="B101" s="1" t="s">
        <v>91</v>
      </c>
      <c r="C101" s="1">
        <v>618000</v>
      </c>
      <c r="D101" s="1">
        <v>-162000</v>
      </c>
      <c r="E101" s="1">
        <v>-66000</v>
      </c>
      <c r="F101" s="1">
        <v>1682000</v>
      </c>
      <c r="G101" s="1">
        <v>-4774000</v>
      </c>
      <c r="H101" s="1">
        <v>-1495000</v>
      </c>
      <c r="O101" s="46" t="s">
        <v>136</v>
      </c>
      <c r="P101" s="52" cm="1">
        <f t="array" ref="P101">_FV(A1,"Market cap",TRUE)</f>
        <v>35789141896</v>
      </c>
    </row>
    <row r="102" spans="1:17" ht="20" x14ac:dyDescent="0.25">
      <c r="A102" s="6" t="s">
        <v>87</v>
      </c>
      <c r="B102" s="10">
        <v>-46392000</v>
      </c>
      <c r="C102" s="10">
        <v>40353000</v>
      </c>
      <c r="D102" s="10">
        <v>25229000</v>
      </c>
      <c r="E102" s="10">
        <v>176390000</v>
      </c>
      <c r="F102" s="10">
        <v>1653810000</v>
      </c>
      <c r="G102" s="10">
        <v>78025000</v>
      </c>
      <c r="H102" s="10">
        <v>460291000</v>
      </c>
      <c r="O102" s="48" t="s">
        <v>137</v>
      </c>
      <c r="P102" s="49">
        <f>P101/P103</f>
        <v>0.97857372530188225</v>
      </c>
    </row>
    <row r="103" spans="1:17" ht="19" customHeight="1" x14ac:dyDescent="0.25">
      <c r="A103" s="5" t="s">
        <v>88</v>
      </c>
      <c r="B103" s="1">
        <v>69218000</v>
      </c>
      <c r="C103" s="1">
        <v>22826000</v>
      </c>
      <c r="D103" s="1">
        <v>63179000</v>
      </c>
      <c r="E103" s="1">
        <v>88408000</v>
      </c>
      <c r="F103" s="1">
        <v>264798000</v>
      </c>
      <c r="G103" s="1">
        <v>1918608000</v>
      </c>
      <c r="H103" s="1">
        <v>1996633000</v>
      </c>
      <c r="O103" s="48" t="s">
        <v>138</v>
      </c>
      <c r="P103" s="53">
        <f>P99+P101</f>
        <v>36572759896</v>
      </c>
    </row>
    <row r="104" spans="1:17" ht="20" customHeight="1" thickBot="1" x14ac:dyDescent="0.3">
      <c r="A104" s="7" t="s">
        <v>89</v>
      </c>
      <c r="B104" s="11">
        <v>22826000</v>
      </c>
      <c r="C104" s="11">
        <v>63179000</v>
      </c>
      <c r="D104" s="11">
        <v>88408000</v>
      </c>
      <c r="E104" s="11">
        <v>264798000</v>
      </c>
      <c r="F104" s="11">
        <v>1918608000</v>
      </c>
      <c r="G104" s="11">
        <v>1996633000</v>
      </c>
      <c r="H104" s="11">
        <v>2456924000</v>
      </c>
      <c r="O104" s="70" t="s">
        <v>139</v>
      </c>
      <c r="P104" s="70"/>
    </row>
    <row r="105" spans="1:17" ht="21" thickTop="1" x14ac:dyDescent="0.25">
      <c r="A105" s="14" t="s">
        <v>161</v>
      </c>
      <c r="B105" s="1">
        <f t="shared" ref="B105:G105" si="20">(B22*(1-0.2))+B77+B88+B81</f>
        <v>-46934800</v>
      </c>
      <c r="C105" s="1">
        <f t="shared" si="20"/>
        <v>-77858000</v>
      </c>
      <c r="D105" s="1">
        <f t="shared" si="20"/>
        <v>-80644200</v>
      </c>
      <c r="E105" s="1">
        <f t="shared" si="20"/>
        <v>-76066000</v>
      </c>
      <c r="F105" s="1">
        <f t="shared" si="20"/>
        <v>98931800</v>
      </c>
      <c r="G105" s="1">
        <f t="shared" si="20"/>
        <v>164351600</v>
      </c>
      <c r="H105" s="1">
        <f>(H22*(1-0.2))+H77+H88+H81</f>
        <v>208373400</v>
      </c>
      <c r="I105" s="29">
        <f>H105*(1+$P$106)</f>
        <v>270757264.31003743</v>
      </c>
      <c r="J105" s="29">
        <f t="shared" ref="J105:M105" si="21">I105*(1+$P$106)</f>
        <v>351817920.02556694</v>
      </c>
      <c r="K105" s="29">
        <f t="shared" si="21"/>
        <v>457146917.79934496</v>
      </c>
      <c r="L105" s="29">
        <f t="shared" si="21"/>
        <v>594009834.51398396</v>
      </c>
      <c r="M105" s="29">
        <f t="shared" si="21"/>
        <v>771847451.57618165</v>
      </c>
      <c r="N105" s="26" t="s">
        <v>162</v>
      </c>
      <c r="O105" s="54" t="s">
        <v>140</v>
      </c>
      <c r="P105" s="55">
        <f>(P100*P92)+(P102*P97)</f>
        <v>8.0863834466116849E-2</v>
      </c>
      <c r="Q105" s="15"/>
    </row>
    <row r="106" spans="1:17" ht="19" x14ac:dyDescent="0.25">
      <c r="A106" s="14" t="s">
        <v>108</v>
      </c>
      <c r="B106" s="1"/>
      <c r="C106" s="15">
        <f t="shared" ref="C106:H106" si="22">(C107/B107)-1</f>
        <v>0.36934024286487732</v>
      </c>
      <c r="D106" s="15">
        <f t="shared" si="22"/>
        <v>-0.25878605076761452</v>
      </c>
      <c r="E106" s="15">
        <f t="shared" si="22"/>
        <v>-1.1898404279639705</v>
      </c>
      <c r="F106" s="15">
        <f t="shared" si="22"/>
        <v>22.500561978163134</v>
      </c>
      <c r="G106" s="15">
        <f t="shared" si="22"/>
        <v>0.50919128322680485</v>
      </c>
      <c r="H106" s="15">
        <f t="shared" si="22"/>
        <v>0.53221209891913301</v>
      </c>
      <c r="I106" s="41">
        <v>601000000</v>
      </c>
      <c r="J106" s="41">
        <v>730600000</v>
      </c>
      <c r="K106" s="41">
        <v>924200000</v>
      </c>
      <c r="L106" s="41">
        <v>1813000000</v>
      </c>
      <c r="M106" s="41">
        <v>2068000000</v>
      </c>
      <c r="N106" s="26" t="s">
        <v>163</v>
      </c>
      <c r="O106" s="56" t="s">
        <v>141</v>
      </c>
      <c r="P106" s="57">
        <f>(SUM(I4:M4)/5)</f>
        <v>0.29938497097056249</v>
      </c>
    </row>
    <row r="107" spans="1:17" ht="19" x14ac:dyDescent="0.25">
      <c r="A107" s="43" t="s">
        <v>164</v>
      </c>
      <c r="B107" s="1">
        <v>-64645000</v>
      </c>
      <c r="C107" s="1">
        <v>-88521000</v>
      </c>
      <c r="D107" s="1">
        <v>-65613000</v>
      </c>
      <c r="E107" s="1">
        <v>12456000</v>
      </c>
      <c r="F107" s="1">
        <v>292723000</v>
      </c>
      <c r="G107" s="1">
        <v>441775000</v>
      </c>
      <c r="H107" s="1">
        <v>676893000</v>
      </c>
      <c r="I107" s="26"/>
      <c r="J107" s="26"/>
      <c r="K107" s="26"/>
      <c r="L107" s="26"/>
      <c r="M107" s="42">
        <f>M106*(1+P107)/(P108-P107)</f>
        <v>37944047705.598579</v>
      </c>
      <c r="N107" s="27" t="s">
        <v>142</v>
      </c>
      <c r="O107" s="58" t="s">
        <v>143</v>
      </c>
      <c r="P107" s="59">
        <v>2.5000000000000001E-2</v>
      </c>
    </row>
    <row r="108" spans="1:17" ht="19" x14ac:dyDescent="0.25">
      <c r="I108" s="42">
        <f t="shared" ref="I108:L108" si="23">I107+I106</f>
        <v>601000000</v>
      </c>
      <c r="J108" s="42">
        <f t="shared" si="23"/>
        <v>730600000</v>
      </c>
      <c r="K108" s="42">
        <f t="shared" si="23"/>
        <v>924200000</v>
      </c>
      <c r="L108" s="42">
        <f t="shared" si="23"/>
        <v>1813000000</v>
      </c>
      <c r="M108" s="42">
        <f>M107+M106</f>
        <v>40012047705.598579</v>
      </c>
      <c r="N108" s="27" t="s">
        <v>138</v>
      </c>
      <c r="O108" s="60" t="s">
        <v>144</v>
      </c>
      <c r="P108" s="57">
        <f>P105</f>
        <v>8.0863834466116849E-2</v>
      </c>
    </row>
    <row r="109" spans="1:17" ht="19" x14ac:dyDescent="0.25">
      <c r="I109" s="67" t="s">
        <v>145</v>
      </c>
      <c r="J109" s="67"/>
    </row>
    <row r="110" spans="1:17" ht="20" x14ac:dyDescent="0.25">
      <c r="I110" s="61" t="s">
        <v>146</v>
      </c>
      <c r="J110" s="52">
        <f>NPV(P108,I108,J108,K108,L108,M108)</f>
        <v>30364546846.489624</v>
      </c>
    </row>
    <row r="111" spans="1:17" ht="20" x14ac:dyDescent="0.25">
      <c r="I111" s="61" t="s">
        <v>147</v>
      </c>
      <c r="J111" s="52">
        <f>H40</f>
        <v>2705369000</v>
      </c>
    </row>
    <row r="112" spans="1:17" ht="20" x14ac:dyDescent="0.25">
      <c r="I112" s="61" t="s">
        <v>135</v>
      </c>
      <c r="J112" s="52">
        <f>P99</f>
        <v>783618000</v>
      </c>
    </row>
    <row r="113" spans="9:10" ht="20" x14ac:dyDescent="0.25">
      <c r="I113" s="61" t="s">
        <v>148</v>
      </c>
      <c r="J113" s="52">
        <f>J110+J111-J112</f>
        <v>32286297846.489624</v>
      </c>
    </row>
    <row r="114" spans="9:10" ht="20" customHeight="1" x14ac:dyDescent="0.25">
      <c r="I114" s="61" t="s">
        <v>157</v>
      </c>
      <c r="J114" s="61">
        <f>G34*(1+(5*0.05))</f>
        <v>283927500</v>
      </c>
    </row>
    <row r="115" spans="9:10" ht="20" x14ac:dyDescent="0.25">
      <c r="I115" s="62" t="s">
        <v>149</v>
      </c>
      <c r="J115" s="63">
        <f>J113/J114</f>
        <v>113.71317623861593</v>
      </c>
    </row>
    <row r="116" spans="9:10" ht="20" x14ac:dyDescent="0.25">
      <c r="I116" s="61" t="s">
        <v>150</v>
      </c>
      <c r="J116" s="64" cm="1">
        <f t="array" ref="J116">_FV(A1,"Price")</f>
        <v>150.94</v>
      </c>
    </row>
    <row r="117" spans="9:10" ht="20" x14ac:dyDescent="0.25">
      <c r="I117" s="62" t="s">
        <v>151</v>
      </c>
      <c r="J117" s="65">
        <f>J115/J116-1</f>
        <v>-0.24663325666744451</v>
      </c>
    </row>
    <row r="118" spans="9:10" ht="20" x14ac:dyDescent="0.25">
      <c r="I118" s="62" t="s">
        <v>152</v>
      </c>
      <c r="J118" s="66" t="str">
        <f>IF(J115&gt;J116,"BUY","SELL")</f>
        <v>SELL</v>
      </c>
    </row>
  </sheetData>
  <mergeCells count="6">
    <mergeCell ref="I109:J109"/>
    <mergeCell ref="O83:P83"/>
    <mergeCell ref="O84:P84"/>
    <mergeCell ref="O93:P93"/>
    <mergeCell ref="O98:P98"/>
    <mergeCell ref="O104:P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I1" r:id="rId14" display="https://finbox.com/NASDAQGS:CRWD/explorer/revenue_proj" xr:uid="{6392E823-401A-E146-8E1E-52CD472DB84C}"/>
    <hyperlink ref="H36" r:id="rId15" tooltip="https://www.sec.gov/Archives/edgar/data/1535527/000153552723000008/0001535527-23-000008-index.htm" xr:uid="{CBD97F73-9851-F842-98DD-410ED5E5C4D8}"/>
    <hyperlink ref="H74" r:id="rId16" tooltip="https://www.sec.gov/Archives/edgar/data/1535527/000153552723000008/0001535527-23-000008-index.htm" xr:uid="{C6421D81-E573-7B49-84F9-577686F587B0}"/>
    <hyperlink ref="N106" r:id="rId17" xr:uid="{696891C6-4F42-6F4B-A128-0F8ECA29C002}"/>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2023-01-13T21:03:52Z</dcterms:created>
  <dcterms:modified xsi:type="dcterms:W3CDTF">2023-07-29T23:51:23Z</dcterms:modified>
</cp:coreProperties>
</file>