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D792AAF-89B9-7448-AEE3-81C0FF772FB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1" i="1" l="1"/>
  <c r="P90" i="1"/>
  <c r="P89" i="1"/>
  <c r="P87" i="1"/>
  <c r="P86" i="1"/>
  <c r="P85" i="1"/>
  <c r="Q22" i="1"/>
  <c r="P22" i="1"/>
  <c r="Q19" i="1"/>
  <c r="N19" i="1"/>
  <c r="Q16" i="1"/>
  <c r="P16" i="1"/>
  <c r="O16" i="1"/>
  <c r="N16" i="1"/>
  <c r="Q13" i="1"/>
  <c r="P13" i="1"/>
  <c r="O13" i="1"/>
  <c r="N13" i="1"/>
  <c r="Q10" i="1"/>
  <c r="P10" i="1"/>
  <c r="O10" i="1"/>
  <c r="N10" i="1"/>
  <c r="Q7" i="1"/>
  <c r="P7" i="1"/>
  <c r="O7" i="1"/>
  <c r="N7" i="1"/>
  <c r="P4" i="1"/>
  <c r="O4" i="1"/>
  <c r="N4" i="1"/>
  <c r="I29" i="1"/>
  <c r="I20" i="1"/>
  <c r="J4" i="1"/>
  <c r="I4" i="1"/>
  <c r="H73" i="1"/>
  <c r="H48" i="1"/>
  <c r="H40" i="1"/>
  <c r="H30" i="1"/>
  <c r="H26" i="1"/>
  <c r="H23" i="1"/>
  <c r="H21" i="1"/>
  <c r="H16" i="1"/>
  <c r="H7" i="1"/>
  <c r="H106" i="1"/>
  <c r="Q4" i="1" s="1"/>
  <c r="H105" i="1"/>
  <c r="H89" i="1"/>
  <c r="H80" i="1"/>
  <c r="H35" i="1"/>
  <c r="H29" i="1"/>
  <c r="H20" i="1"/>
  <c r="H13" i="1"/>
  <c r="H9" i="1"/>
  <c r="H4" i="1"/>
  <c r="P94" i="1" l="1"/>
  <c r="I108" i="1"/>
  <c r="J108" i="1"/>
  <c r="K108" i="1"/>
  <c r="L108" i="1"/>
  <c r="M30" i="1"/>
  <c r="L30" i="1"/>
  <c r="K30" i="1"/>
  <c r="J30" i="1"/>
  <c r="I30" i="1"/>
  <c r="M29" i="1"/>
  <c r="L29" i="1"/>
  <c r="K29" i="1"/>
  <c r="J29" i="1"/>
  <c r="M21" i="1"/>
  <c r="L21" i="1"/>
  <c r="K21" i="1"/>
  <c r="J21" i="1"/>
  <c r="I21" i="1"/>
  <c r="M20" i="1"/>
  <c r="L20" i="1"/>
  <c r="K20" i="1"/>
  <c r="J20" i="1"/>
  <c r="B105" i="1"/>
  <c r="C105" i="1"/>
  <c r="D105" i="1"/>
  <c r="E105" i="1"/>
  <c r="F105" i="1"/>
  <c r="G105" i="1"/>
  <c r="J114" i="1" l="1"/>
  <c r="J116" i="1" a="1"/>
  <c r="J116" i="1" s="1"/>
  <c r="P101" i="1" a="1"/>
  <c r="P101" i="1" s="1"/>
  <c r="P95" i="1" a="1"/>
  <c r="P95" i="1" s="1"/>
  <c r="P97" i="1" s="1"/>
  <c r="P99" i="1"/>
  <c r="J112" i="1" s="1"/>
  <c r="P91" i="1"/>
  <c r="K4" i="1"/>
  <c r="L4" i="1"/>
  <c r="M4" i="1"/>
  <c r="G106" i="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O19" i="1" l="1"/>
  <c r="P19" i="1"/>
  <c r="P88" i="1"/>
  <c r="P92" i="1" s="1"/>
  <c r="P106" i="1"/>
  <c r="I105" i="1" s="1"/>
  <c r="J105" i="1" s="1"/>
  <c r="K105" i="1" s="1"/>
  <c r="L105" i="1" s="1"/>
  <c r="M105" i="1" s="1"/>
  <c r="P103" i="1"/>
  <c r="P100" i="1" s="1"/>
  <c r="P102" i="1" l="1"/>
  <c r="P105" i="1" s="1"/>
  <c r="P108" i="1" s="1"/>
  <c r="M107" i="1" s="1"/>
  <c r="M108" i="1" s="1"/>
  <c r="J110" i="1" l="1"/>
  <c r="J113" i="1" s="1"/>
  <c r="J115" i="1" s="1"/>
  <c r="J117" i="1" s="1"/>
  <c r="J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<sst xmlns="http://schemas.openxmlformats.org/spreadsheetml/2006/main" count="310" uniqueCount="167">
  <si>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</si>
  <si>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</si>
  <si>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</si>
  <si>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</si>
  <si>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</si>
  <si>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</si>
  <si>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</si>
  <si>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</si>
  <si>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</si>
  <si>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</si>
  <si>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</si>
  <si>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</si>
  <si>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</si>
  <si>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</si>
  <si>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</si>
  <si>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</si>
  <si>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</si>
  <si>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</si>
  <si>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</si>
  <si>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</si>
  <si>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</si>
  <si>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</si>
  <si>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</si>
  <si>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</si>
  <si>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</si>
  <si>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</si>
  <si>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</si>
  <si>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</si>
  <si>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</si>
  <si>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</si>
  <si>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</si>
  <si>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</si>
  <si>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</si>
  <si>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</si>
  <si>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</si>
  <si>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</si>
  <si>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</si>
  <si>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</si>
  <si>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</si>
  <si>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</si>
  <si>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</si>
  <si>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</si>
  <si>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</si>
  <si>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</si>
  <si>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</si>
  <si>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</si>
  <si>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</si>
  <si>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</si>
  <si>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</si>
  <si>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</si>
  <si>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</si>
  <si>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</si>
  <si>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</si>
  <si>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</si>
  <si>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</si>
  <si>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</si>
  <si>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</si>
  <si>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</si>
  <si>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</si>
  <si>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</si>
  <si>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</si>
  <si>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</si>
  <si>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</si>
  <si>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</si>
  <si>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</si>
  <si>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</si>
  <si>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</si>
  <si>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</si>
  <si>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</si>
  <si>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</si>
  <si>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</si>
  <si>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</si>
  <si>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</si>
  <si>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</si>
  <si>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</si>
  <si>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</si>
  <si>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</si>
  <si>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</si>
  <si>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</si>
  <si>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</si>
  <si>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</si>
  <si>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</si>
  <si>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</si>
  <si>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</si>
  <si>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</si>
  <si>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</si>
  <si>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</si>
  <si>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</si>
  <si>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</si>
  <si>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</si>
  <si>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</si>
  <si>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</si>
  <si>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</si>
  <si>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</si>
  <si>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</si>
  <si>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</si>
  <si>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</si>
  <si>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</si>
  <si>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</si>
  <si>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</si>
  <si>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</si>
  <si>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</si>
  <si>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</si>
  <si>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</si>
  <si>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</si>
  <si>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</si>
  <si>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</si>
  <si>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</si>
  <si>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</si>
  <si>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</si>
  <si>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</si>
  <si>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</si>
  <si>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</si>
  <si>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</si>
  <si>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</si>
  <si>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</si>
  <si>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</si>
  <si>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</si>
  <si>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</si>
  <si>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</si>
  <si>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</si>
  <si>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</si>
  <si>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</si>
  <si>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</si>
  <si>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</si>
  <si>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</si>
  <si>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</si>
  <si>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</si>
  <si>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</si>
  <si>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</si>
  <si>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</si>
  <si>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</si>
  <si>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</si>
  <si>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</si>
  <si>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</si>
  <si>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</si>
  <si>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</si>
  <si>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</si>
  <si>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</si>
  <si>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</si>
  <si>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</si>
  <si>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</si>
  <si>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</si>
  <si>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</si>
  <si>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</si>
  <si>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</si>
  <si>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</si>
  <si>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</si>
  <si>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</si>
  <si>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</si>
  <si>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</si>
  <si>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</si>
  <si>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</si>
  <si>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</si>
  <si>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</si>
  <si>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</si>
  <si>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</si>
  <si>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</si>
  <si>
    <t>Unlevered FCF</t>
  </si>
  <si>
    <t>Levered FCF</t>
  </si>
  <si>
    <t>Forward P/S</t>
  </si>
  <si>
    <t>Forward P/E</t>
  </si>
  <si>
    <t>Forward P/FCF</t>
  </si>
  <si>
    <t>Dividend Yield</t>
  </si>
  <si>
    <t>FCF Yield</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</si>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</sst>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4" fillId="0" borderId="0" xfId="0"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7" fillId="4" borderId="0" xfId="0" applyNumberFormat="1" applyFont="1" applyFill="1" applyAlignment="1">
      <alignment wrapText="1"/>
    </xf>
    <xf numFmtId="10" fontId="1" fillId="4"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5" fillId="5" borderId="0" xfId="0" applyFont="1" applyFill="1" applyAlignment="1">
      <alignment horizontal="center"/>
    </xf>
    <xf numFmtId="0" fontId="16"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Elastic N.V.</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320661157024796E-2"/>
          <c:y val="0.13579900652914254"/>
          <c:w val="0.8395636363636364"/>
          <c:h val="0.7185529598056441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1'!$B$3:$H$3</c:f>
              <c:numCache>
                <c:formatCode>#,###,,;\(#,###,,\);\ \-\ \-</c:formatCode>
                <c:ptCount val="7"/>
                <c:pt idx="0">
                  <c:v>88177000</c:v>
                </c:pt>
                <c:pt idx="1">
                  <c:v>159935000</c:v>
                </c:pt>
                <c:pt idx="2">
                  <c:v>271653000</c:v>
                </c:pt>
                <c:pt idx="3">
                  <c:v>427620000</c:v>
                </c:pt>
                <c:pt idx="4">
                  <c:v>608489000</c:v>
                </c:pt>
                <c:pt idx="5">
                  <c:v>862374000</c:v>
                </c:pt>
                <c:pt idx="6">
                  <c:v>1069000000</c:v>
                </c:pt>
              </c:numCache>
            </c:numRef>
          </c:val>
          <c:extLst>
            <c:ext xmlns:c16="http://schemas.microsoft.com/office/drawing/2014/chart" uri="{C3380CC4-5D6E-409C-BE32-E72D297353CC}">
              <c16:uniqueId val="{00000000-A651-7D4D-862F-0DBC76761FF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1'!$B$28:$H$28</c:f>
              <c:numCache>
                <c:formatCode>#,###,,;\(#,###,,\);\ \-\ \-</c:formatCode>
                <c:ptCount val="7"/>
                <c:pt idx="0">
                  <c:v>-51968000</c:v>
                </c:pt>
                <c:pt idx="1">
                  <c:v>-52727000</c:v>
                </c:pt>
                <c:pt idx="2">
                  <c:v>-102303000</c:v>
                </c:pt>
                <c:pt idx="3">
                  <c:v>-167174000</c:v>
                </c:pt>
                <c:pt idx="4">
                  <c:v>-129434000</c:v>
                </c:pt>
                <c:pt idx="5">
                  <c:v>-203848000</c:v>
                </c:pt>
                <c:pt idx="6">
                  <c:v>-236000000</c:v>
                </c:pt>
              </c:numCache>
            </c:numRef>
          </c:val>
          <c:extLst>
            <c:ext xmlns:c16="http://schemas.microsoft.com/office/drawing/2014/chart" uri="{C3380CC4-5D6E-409C-BE32-E72D297353CC}">
              <c16:uniqueId val="{00000001-A651-7D4D-862F-0DBC76761FF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1'!$B$107:$H$107</c:f>
              <c:numCache>
                <c:formatCode>#,###,,;\(#,###,,\);\ \-\ \-</c:formatCode>
                <c:ptCount val="7"/>
                <c:pt idx="0">
                  <c:v>-16950000</c:v>
                </c:pt>
                <c:pt idx="1">
                  <c:v>-23787000</c:v>
                </c:pt>
                <c:pt idx="2">
                  <c:v>-27384000</c:v>
                </c:pt>
                <c:pt idx="3">
                  <c:v>-35627000</c:v>
                </c:pt>
                <c:pt idx="4">
                  <c:v>18316000</c:v>
                </c:pt>
                <c:pt idx="5">
                  <c:v>-1745000</c:v>
                </c:pt>
                <c:pt idx="6">
                  <c:v>32978000</c:v>
                </c:pt>
              </c:numCache>
            </c:numRef>
          </c:val>
          <c:extLst>
            <c:ext xmlns:c16="http://schemas.microsoft.com/office/drawing/2014/chart" uri="{C3380CC4-5D6E-409C-BE32-E72D297353CC}">
              <c16:uniqueId val="{00000002-A651-7D4D-862F-0DBC76761FF5}"/>
            </c:ext>
          </c:extLst>
        </c:ser>
        <c:dLbls>
          <c:showLegendKey val="0"/>
          <c:showVal val="0"/>
          <c:showCatName val="0"/>
          <c:showSerName val="0"/>
          <c:showPercent val="0"/>
          <c:showBubbleSize val="0"/>
        </c:dLbls>
        <c:gapWidth val="100"/>
        <c:overlap val="-24"/>
        <c:axId val="913876447"/>
        <c:axId val="913878175"/>
      </c:barChart>
      <c:catAx>
        <c:axId val="9138764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3878175"/>
        <c:crosses val="autoZero"/>
        <c:auto val="1"/>
        <c:lblAlgn val="ctr"/>
        <c:lblOffset val="100"/>
        <c:noMultiLvlLbl val="0"/>
      </c:catAx>
      <c:valAx>
        <c:axId val="91387817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3876447"/>
        <c:crosses val="autoZero"/>
        <c:crossBetween val="between"/>
      </c:valAx>
      <c:spPr>
        <a:noFill/>
        <a:ln>
          <a:noFill/>
        </a:ln>
        <a:effectLst/>
      </c:spPr>
    </c:plotArea>
    <c:legend>
      <c:legendPos val="b"/>
      <c:layout>
        <c:manualLayout>
          <c:xMode val="edge"/>
          <c:yMode val="edge"/>
          <c:x val="0.36029986334352831"/>
          <c:y val="0.90496279907160371"/>
          <c:w val="0.31378033448298304"/>
          <c:h val="5.64697078154486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15874</xdr:colOff>
      <xdr:row>108</xdr:row>
      <xdr:rowOff>9525</xdr:rowOff>
    </xdr:from>
    <xdr:to>
      <xdr:col>15</xdr:col>
      <xdr:colOff>1603374</xdr:colOff>
      <xdr:row>128</xdr:row>
      <xdr:rowOff>31750</xdr:rowOff>
    </xdr:to>
    <xdr:graphicFrame macro="">
      <xdr:nvGraphicFramePr>
        <xdr:cNvPr id="3" name="Chart 2">
          <a:extLst>
            <a:ext uri="{FF2B5EF4-FFF2-40B4-BE49-F238E27FC236}">
              <a16:creationId xmlns:a16="http://schemas.microsoft.com/office/drawing/2014/main" id="{744D9B45-2E88-0B08-BB33-79B05C0E6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91.3</v>
    <v>46.18</v>
    <v>0.98460000000000003</v>
    <v>1.68</v>
    <v>2.682E-2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65.239999999999995</v>
    <v>Software &amp; IT Services</v>
    <v>Stock</v>
    <v>45114.958333367969</v>
    <v>0</v>
    <v>62.67</v>
    <v>6264182000</v>
    <v>Elastic NV</v>
    <v>Elastic NV</v>
    <v>62.94</v>
    <v>62.64</v>
    <v>64.319999999999993</v>
    <v>97390890</v>
    <v>ESTC</v>
    <v>Elastic NV (XNYS:ESTC)</v>
    <v>100</v>
    <v>1534331</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07753/000162828020009982/0001628280-20-009982-index.htm" TargetMode="External"/><Relationship Id="rId13" Type="http://schemas.openxmlformats.org/officeDocument/2006/relationships/hyperlink" Target="https://www.sec.gov/Archives/edgar/data/1707753/000170775322000025/0001707753-22-000025-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07753/000156459019024066/0001564590-19-024066-index.html" TargetMode="External"/><Relationship Id="rId12" Type="http://schemas.openxmlformats.org/officeDocument/2006/relationships/hyperlink" Target="https://www.sec.gov/Archives/edgar/data/1707753/000170775322000025/0001707753-22-000025-index.htm" TargetMode="External"/><Relationship Id="rId17" Type="http://schemas.openxmlformats.org/officeDocument/2006/relationships/hyperlink" Target="https://www.sec.gov/Archives/edgar/data/1707753/000170775322000025/0001707753-22-00002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07753/000170775322000025/0001707753-22-000025-index.htm" TargetMode="External"/><Relationship Id="rId1" Type="http://schemas.openxmlformats.org/officeDocument/2006/relationships/hyperlink" Target="https://roic.ai/company/ESTC" TargetMode="External"/><Relationship Id="rId6" Type="http://schemas.openxmlformats.org/officeDocument/2006/relationships/hyperlink" Target="https://www.sec.gov/Archives/edgar/data/1707753/000156459019024066/0001564590-19-024066-index.html" TargetMode="External"/><Relationship Id="rId11" Type="http://schemas.openxmlformats.org/officeDocument/2006/relationships/hyperlink" Target="https://www.sec.gov/Archives/edgar/data/1707753/000170775321000026/0001707753-21-000026-index.htm" TargetMode="External"/><Relationship Id="rId5" Type="http://schemas.openxmlformats.org/officeDocument/2006/relationships/hyperlink" Target="https://sec.gov/" TargetMode="External"/><Relationship Id="rId15" Type="http://schemas.openxmlformats.org/officeDocument/2006/relationships/hyperlink" Target="https://finbox.com/NYSE:ESTC/explorer/fcf_unlev_proj" TargetMode="External"/><Relationship Id="rId10" Type="http://schemas.openxmlformats.org/officeDocument/2006/relationships/hyperlink" Target="https://www.sec.gov/Archives/edgar/data/1707753/000170775321000026/0001707753-21-00002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07753/000162828020009982/0001628280-20-009982-index.htm" TargetMode="External"/><Relationship Id="rId14" Type="http://schemas.openxmlformats.org/officeDocument/2006/relationships/hyperlink" Target="https://finbox.com/NYSE:EST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E2" activePane="bottomRight" state="frozen"/>
      <selection pane="topRight"/>
      <selection pane="bottomLeft"/>
      <selection pane="bottomRight" activeCell="O27" sqref="O27"/>
    </sheetView>
  </sheetViews>
  <sheetFormatPr baseColWidth="10" defaultRowHeight="16"/>
  <cols>
    <col min="1" max="1" width="50" customWidth="1"/>
    <col min="2" max="8" width="15" customWidth="1"/>
    <col min="9" max="17" width="21" customWidth="1"/>
  </cols>
  <sheetData>
    <row r="1" spans="1:39" ht="22" thickBot="1">
      <c r="A1" s="3" t="e" vm="1">
        <v>#VALUE!</v>
      </c>
      <c r="B1" s="8">
        <v>2017</v>
      </c>
      <c r="C1" s="8">
        <v>2018</v>
      </c>
      <c r="D1" s="8">
        <v>2019</v>
      </c>
      <c r="E1" s="8">
        <v>2020</v>
      </c>
      <c r="F1" s="8">
        <v>2021</v>
      </c>
      <c r="G1" s="8">
        <v>2022</v>
      </c>
      <c r="H1" s="8">
        <v>2023</v>
      </c>
      <c r="I1" s="24">
        <v>2024</v>
      </c>
      <c r="J1" s="24">
        <v>2025</v>
      </c>
      <c r="K1" s="24">
        <v>2026</v>
      </c>
      <c r="L1" s="24">
        <v>2027</v>
      </c>
      <c r="M1" s="24">
        <v>2028</v>
      </c>
    </row>
    <row r="2" spans="1:39" ht="21">
      <c r="A2" s="4" t="s">
        <v>0</v>
      </c>
      <c r="B2" s="9" t="s">
        <v>90</v>
      </c>
      <c r="C2" s="9" t="s">
        <v>90</v>
      </c>
      <c r="D2" s="9" t="s">
        <v>90</v>
      </c>
      <c r="E2" s="9" t="s">
        <v>90</v>
      </c>
      <c r="F2" s="9" t="s">
        <v>90</v>
      </c>
      <c r="G2" s="9" t="s">
        <v>90</v>
      </c>
      <c r="H2" s="9" t="s">
        <v>90</v>
      </c>
      <c r="I2" s="9" t="s">
        <v>90</v>
      </c>
      <c r="J2" s="9" t="s">
        <v>90</v>
      </c>
      <c r="K2" s="9"/>
      <c r="L2" s="9"/>
      <c r="M2" s="9"/>
      <c r="N2" s="9"/>
      <c r="O2" s="9"/>
      <c r="P2" s="9"/>
      <c r="Q2" s="9"/>
    </row>
    <row r="3" spans="1:39" ht="40">
      <c r="A3" s="5" t="s">
        <v>1</v>
      </c>
      <c r="B3" s="1">
        <v>88177000</v>
      </c>
      <c r="C3" s="1">
        <v>159935000</v>
      </c>
      <c r="D3" s="1">
        <v>271653000</v>
      </c>
      <c r="E3" s="1">
        <v>427620000</v>
      </c>
      <c r="F3" s="1">
        <v>608489000</v>
      </c>
      <c r="G3" s="1">
        <v>862374000</v>
      </c>
      <c r="H3" s="1">
        <v>1069000000</v>
      </c>
      <c r="I3" s="25">
        <v>1244000000</v>
      </c>
      <c r="J3" s="25">
        <v>1480000000</v>
      </c>
      <c r="K3" s="25">
        <v>1846000000</v>
      </c>
      <c r="L3" s="25">
        <v>2187000000</v>
      </c>
      <c r="M3" s="25">
        <v>2568000000</v>
      </c>
      <c r="N3" s="19" t="s">
        <v>108</v>
      </c>
      <c r="O3" s="20" t="s">
        <v>109</v>
      </c>
      <c r="P3" s="20" t="s">
        <v>110</v>
      </c>
      <c r="Q3" s="20" t="s">
        <v>111</v>
      </c>
    </row>
    <row r="4" spans="1:39" ht="19">
      <c r="A4" s="14" t="s">
        <v>93</v>
      </c>
      <c r="B4" s="1"/>
      <c r="C4" s="15">
        <f>(C3/B3)-1</f>
        <v>0.8137949805504836</v>
      </c>
      <c r="D4" s="15">
        <f>(D3/C3)-1</f>
        <v>0.69852127426767119</v>
      </c>
      <c r="E4" s="15">
        <f>(E3/D3)-1</f>
        <v>0.5741405395854271</v>
      </c>
      <c r="F4" s="15">
        <f t="shared" ref="F4:M4" si="0">(F3/E3)-1</f>
        <v>0.42296665263551758</v>
      </c>
      <c r="G4" s="15">
        <f t="shared" si="0"/>
        <v>0.41723843816404238</v>
      </c>
      <c r="H4" s="15">
        <f t="shared" si="0"/>
        <v>0.23960137944789617</v>
      </c>
      <c r="I4" s="16">
        <f>(I3/H3)-1</f>
        <v>0.1637043966323668</v>
      </c>
      <c r="J4" s="16">
        <f>(J3/I3)-1</f>
        <v>0.18971061093247599</v>
      </c>
      <c r="K4" s="16">
        <f t="shared" si="0"/>
        <v>0.24729729729729732</v>
      </c>
      <c r="L4" s="16">
        <f t="shared" si="0"/>
        <v>0.18472372697724815</v>
      </c>
      <c r="M4" s="16">
        <f t="shared" si="0"/>
        <v>0.17421124828532242</v>
      </c>
      <c r="N4" s="17">
        <f>SUM(F4:H4)/3</f>
        <v>0.35993549008248538</v>
      </c>
      <c r="O4" s="17">
        <f>SUM(F20:H20)/3</f>
        <v>8.075143204380579E-2</v>
      </c>
      <c r="P4" s="17">
        <f>SUM(F29:H29)/3</f>
        <v>0.16896368227434536</v>
      </c>
      <c r="Q4" s="17">
        <f>SUM(F106:H106)/3</f>
        <v>-7.5026478999993307</v>
      </c>
      <c r="AB4" s="16"/>
      <c r="AC4" s="16"/>
      <c r="AD4" s="16"/>
      <c r="AE4" s="16"/>
      <c r="AF4" s="16"/>
      <c r="AG4" s="16"/>
      <c r="AJ4" s="18"/>
      <c r="AK4" s="18"/>
      <c r="AL4" s="18"/>
      <c r="AM4" s="18"/>
    </row>
    <row r="5" spans="1:39" ht="19">
      <c r="A5" s="5" t="s">
        <v>2</v>
      </c>
      <c r="B5" s="1">
        <v>19845000</v>
      </c>
      <c r="C5" s="1">
        <v>40740000</v>
      </c>
      <c r="D5" s="1">
        <v>78010000</v>
      </c>
      <c r="E5" s="1">
        <v>122690000</v>
      </c>
      <c r="F5" s="1">
        <v>161054000</v>
      </c>
      <c r="G5" s="1">
        <v>232194000</v>
      </c>
      <c r="H5" s="1">
        <v>297000000</v>
      </c>
    </row>
    <row r="6" spans="1:39" ht="20">
      <c r="A6" s="6" t="s">
        <v>3</v>
      </c>
      <c r="B6" s="10">
        <v>68332000</v>
      </c>
      <c r="C6" s="10">
        <v>119195000</v>
      </c>
      <c r="D6" s="10">
        <v>193643000</v>
      </c>
      <c r="E6" s="10">
        <v>304930000</v>
      </c>
      <c r="F6" s="10">
        <v>447435000</v>
      </c>
      <c r="G6" s="10">
        <v>630180000</v>
      </c>
      <c r="H6" s="10">
        <v>772000000</v>
      </c>
      <c r="N6" s="19" t="s">
        <v>112</v>
      </c>
      <c r="O6" s="20" t="s">
        <v>113</v>
      </c>
      <c r="P6" s="20" t="s">
        <v>114</v>
      </c>
      <c r="Q6" s="20" t="s">
        <v>115</v>
      </c>
    </row>
    <row r="7" spans="1:39" ht="19">
      <c r="A7" s="5" t="s">
        <v>4</v>
      </c>
      <c r="B7" s="2">
        <v>0.77490000000000003</v>
      </c>
      <c r="C7" s="2">
        <v>0.74529999999999996</v>
      </c>
      <c r="D7" s="2">
        <v>0.71279999999999999</v>
      </c>
      <c r="E7" s="2">
        <v>0.71309999999999996</v>
      </c>
      <c r="F7" s="2">
        <v>0.73529999999999995</v>
      </c>
      <c r="G7" s="2">
        <v>0.73080000000000001</v>
      </c>
      <c r="H7" s="2">
        <f>H6/H3</f>
        <v>0.72217025257249767</v>
      </c>
      <c r="N7" s="17">
        <f>H7</f>
        <v>0.72217025257249767</v>
      </c>
      <c r="O7" s="21">
        <f>H21</f>
        <v>-0.15715622076707203</v>
      </c>
      <c r="P7" s="21">
        <f>H30</f>
        <v>-0.22076707202993451</v>
      </c>
      <c r="Q7" s="21">
        <f>H107/H3</f>
        <v>3.0849391955098223E-2</v>
      </c>
    </row>
    <row r="8" spans="1:39" ht="19">
      <c r="A8" s="5" t="s">
        <v>5</v>
      </c>
      <c r="B8" s="1">
        <v>32601000</v>
      </c>
      <c r="C8" s="1">
        <v>55641000</v>
      </c>
      <c r="D8" s="1">
        <v>101167000</v>
      </c>
      <c r="E8" s="1">
        <v>165370000</v>
      </c>
      <c r="F8" s="1">
        <v>199203000</v>
      </c>
      <c r="G8" s="1">
        <v>273761000</v>
      </c>
      <c r="H8" s="1">
        <v>313000000</v>
      </c>
      <c r="I8" s="26"/>
    </row>
    <row r="9" spans="1:39" ht="19" customHeight="1">
      <c r="A9" s="14" t="s">
        <v>94</v>
      </c>
      <c r="B9" s="15">
        <f>B8/B3</f>
        <v>0.3697222631752044</v>
      </c>
      <c r="C9" s="15">
        <f t="shared" ref="C9:G9" si="1">C8/C3</f>
        <v>0.3478975833932535</v>
      </c>
      <c r="D9" s="15">
        <f t="shared" si="1"/>
        <v>0.37241259989766357</v>
      </c>
      <c r="E9" s="15">
        <f t="shared" si="1"/>
        <v>0.38672185585332775</v>
      </c>
      <c r="F9" s="15">
        <f t="shared" si="1"/>
        <v>0.32737321463494001</v>
      </c>
      <c r="G9" s="15">
        <f t="shared" si="1"/>
        <v>0.31745043333866746</v>
      </c>
      <c r="H9" s="15">
        <f t="shared" ref="H9" si="2">H8/H3</f>
        <v>0.29279700654817586</v>
      </c>
      <c r="N9" s="19" t="s">
        <v>95</v>
      </c>
      <c r="O9" s="20" t="s">
        <v>96</v>
      </c>
      <c r="P9" s="20" t="s">
        <v>97</v>
      </c>
      <c r="Q9" s="20" t="s">
        <v>98</v>
      </c>
    </row>
    <row r="10" spans="1:39" ht="19">
      <c r="A10" s="5" t="s">
        <v>6</v>
      </c>
      <c r="B10" s="1">
        <v>26291000</v>
      </c>
      <c r="C10" s="1">
        <v>28942000</v>
      </c>
      <c r="D10" s="1">
        <v>46536000</v>
      </c>
      <c r="E10" s="1">
        <v>91625000</v>
      </c>
      <c r="F10" s="1">
        <v>103833000</v>
      </c>
      <c r="G10" s="1">
        <v>123441000</v>
      </c>
      <c r="H10" s="1">
        <v>123441000</v>
      </c>
      <c r="N10" s="17">
        <f>H9</f>
        <v>0.29279700654817586</v>
      </c>
      <c r="O10" s="21">
        <f>H13</f>
        <v>0.6052385406922357</v>
      </c>
      <c r="P10" s="21">
        <f>H80</f>
        <v>0.19083255378858746</v>
      </c>
      <c r="Q10" s="21">
        <f>H89</f>
        <v>2.8063610851262861E-3</v>
      </c>
    </row>
    <row r="11" spans="1:39" ht="19">
      <c r="A11" s="5" t="s">
        <v>7</v>
      </c>
      <c r="B11" s="1">
        <v>56612000</v>
      </c>
      <c r="C11" s="1">
        <v>82606000</v>
      </c>
      <c r="D11" s="1">
        <v>147296000</v>
      </c>
      <c r="E11" s="1">
        <v>219040000</v>
      </c>
      <c r="F11" s="1">
        <v>273877000</v>
      </c>
      <c r="G11" s="1">
        <v>406658000</v>
      </c>
      <c r="H11" s="1">
        <v>406658000</v>
      </c>
    </row>
    <row r="12" spans="1:39" ht="20">
      <c r="A12" s="5" t="s">
        <v>8</v>
      </c>
      <c r="B12" s="1">
        <v>82903000</v>
      </c>
      <c r="C12" s="1">
        <v>111548000</v>
      </c>
      <c r="D12" s="1">
        <v>193832000</v>
      </c>
      <c r="E12" s="1">
        <v>310665000</v>
      </c>
      <c r="F12" s="1">
        <v>377710000</v>
      </c>
      <c r="G12" s="1">
        <v>530099000</v>
      </c>
      <c r="H12" s="1">
        <v>647000000</v>
      </c>
      <c r="N12" s="19" t="s">
        <v>116</v>
      </c>
      <c r="O12" s="20" t="s">
        <v>117</v>
      </c>
      <c r="P12" s="20" t="s">
        <v>118</v>
      </c>
      <c r="Q12" s="20" t="s">
        <v>119</v>
      </c>
    </row>
    <row r="13" spans="1:39" ht="19">
      <c r="A13" s="14" t="s">
        <v>99</v>
      </c>
      <c r="B13" s="15">
        <f>B12/B3</f>
        <v>0.94018848452544312</v>
      </c>
      <c r="C13" s="15">
        <f t="shared" ref="C13:G13" si="3">C12/C3</f>
        <v>0.69745834245162097</v>
      </c>
      <c r="D13" s="15">
        <f t="shared" si="3"/>
        <v>0.71352791980946284</v>
      </c>
      <c r="E13" s="15">
        <f t="shared" si="3"/>
        <v>0.72649782517188155</v>
      </c>
      <c r="F13" s="15">
        <f t="shared" si="3"/>
        <v>0.62073431072706331</v>
      </c>
      <c r="G13" s="15">
        <f t="shared" si="3"/>
        <v>0.61469733549480854</v>
      </c>
      <c r="H13" s="15">
        <f t="shared" ref="H13" si="4">H12/H3</f>
        <v>0.6052385406922357</v>
      </c>
      <c r="N13" s="17">
        <f>H28/H72</f>
        <v>-0.5914786967418546</v>
      </c>
      <c r="O13" s="21">
        <f>H28/H54</f>
        <v>-0.13539873780837636</v>
      </c>
      <c r="P13" s="21">
        <f>H22/(H72+H56+H61)</f>
        <v>-0.18932527693856999</v>
      </c>
      <c r="Q13" s="22">
        <f>H67/H72</f>
        <v>3.3709273182957395</v>
      </c>
    </row>
    <row r="14" spans="1:39" ht="19">
      <c r="A14" s="5" t="s">
        <v>9</v>
      </c>
      <c r="B14" s="1" t="s">
        <v>91</v>
      </c>
      <c r="C14" s="1" t="s">
        <v>91</v>
      </c>
      <c r="D14" s="1" t="s">
        <v>91</v>
      </c>
      <c r="E14" s="1" t="s">
        <v>91</v>
      </c>
      <c r="F14" s="1" t="s">
        <v>91</v>
      </c>
      <c r="G14" s="1" t="s">
        <v>91</v>
      </c>
      <c r="H14" s="1" t="s">
        <v>91</v>
      </c>
    </row>
    <row r="15" spans="1:39" ht="20">
      <c r="A15" s="5" t="s">
        <v>10</v>
      </c>
      <c r="B15" s="1">
        <v>115504000</v>
      </c>
      <c r="C15" s="1">
        <v>167189000</v>
      </c>
      <c r="D15" s="1">
        <v>294999000</v>
      </c>
      <c r="E15" s="1">
        <v>476035000</v>
      </c>
      <c r="F15" s="1">
        <v>576913000</v>
      </c>
      <c r="G15" s="1">
        <v>803860000</v>
      </c>
      <c r="H15" s="1">
        <v>960000000</v>
      </c>
      <c r="N15" s="19" t="s">
        <v>120</v>
      </c>
      <c r="O15" s="20" t="s">
        <v>121</v>
      </c>
      <c r="P15" s="20" t="s">
        <v>122</v>
      </c>
      <c r="Q15" s="20" t="s">
        <v>123</v>
      </c>
    </row>
    <row r="16" spans="1:39" ht="19">
      <c r="A16" s="5" t="s">
        <v>11</v>
      </c>
      <c r="B16" s="1">
        <v>135349000</v>
      </c>
      <c r="C16" s="1">
        <v>207929000</v>
      </c>
      <c r="D16" s="1">
        <v>373009000</v>
      </c>
      <c r="E16" s="1">
        <v>598725000</v>
      </c>
      <c r="F16" s="1">
        <v>737967000</v>
      </c>
      <c r="G16" s="1">
        <v>1036054000</v>
      </c>
      <c r="H16" s="1">
        <f>H5+H15</f>
        <v>1257000000</v>
      </c>
      <c r="N16" s="27">
        <f>SUM(D35:H35)/5</f>
        <v>0.10820550985640467</v>
      </c>
      <c r="O16" s="35">
        <f>P101/H3</f>
        <v>5.8598521983161831</v>
      </c>
      <c r="P16" s="35">
        <f>P101/H28</f>
        <v>-26.543144067796611</v>
      </c>
      <c r="Q16" s="36">
        <f>P101/H107</f>
        <v>189.95033052337922</v>
      </c>
    </row>
    <row r="17" spans="1:17" ht="19">
      <c r="A17" s="5" t="s">
        <v>12</v>
      </c>
      <c r="B17" s="1" t="s">
        <v>91</v>
      </c>
      <c r="C17" s="1" t="s">
        <v>91</v>
      </c>
      <c r="D17" s="1" t="s">
        <v>91</v>
      </c>
      <c r="E17" s="1" t="s">
        <v>91</v>
      </c>
      <c r="F17" s="1" t="s">
        <v>91</v>
      </c>
      <c r="G17" s="1">
        <v>20716000</v>
      </c>
      <c r="H17" s="1">
        <v>25000000</v>
      </c>
    </row>
    <row r="18" spans="1:17" ht="20">
      <c r="A18" s="5" t="s">
        <v>13</v>
      </c>
      <c r="B18" s="1">
        <v>3150000</v>
      </c>
      <c r="C18" s="1">
        <v>5066000</v>
      </c>
      <c r="D18" s="1">
        <v>5695000</v>
      </c>
      <c r="E18" s="1">
        <v>12859000</v>
      </c>
      <c r="F18" s="1">
        <v>17237000</v>
      </c>
      <c r="G18" s="1">
        <v>19728000</v>
      </c>
      <c r="H18" s="1">
        <v>20000000</v>
      </c>
      <c r="N18" s="19" t="s">
        <v>124</v>
      </c>
      <c r="O18" s="20" t="s">
        <v>160</v>
      </c>
      <c r="P18" s="20" t="s">
        <v>161</v>
      </c>
      <c r="Q18" s="20" t="s">
        <v>162</v>
      </c>
    </row>
    <row r="19" spans="1:17" ht="19">
      <c r="A19" s="6" t="s">
        <v>14</v>
      </c>
      <c r="B19" s="10">
        <v>-44605000</v>
      </c>
      <c r="C19" s="10">
        <v>-44285000</v>
      </c>
      <c r="D19" s="10">
        <v>-92220000</v>
      </c>
      <c r="E19" s="10">
        <v>-156283000</v>
      </c>
      <c r="F19" s="10">
        <v>-104477000</v>
      </c>
      <c r="G19" s="10">
        <v>-157345000</v>
      </c>
      <c r="H19" s="10">
        <v>-168000000</v>
      </c>
      <c r="I19" s="39">
        <v>134700000</v>
      </c>
      <c r="J19" s="39">
        <v>187400000</v>
      </c>
      <c r="K19" s="39">
        <v>302500000</v>
      </c>
      <c r="L19" s="39">
        <v>413300000</v>
      </c>
      <c r="M19" s="39">
        <v>549500000</v>
      </c>
      <c r="N19" s="28">
        <f>H40-H56-H61</f>
        <v>321000000</v>
      </c>
      <c r="O19" s="35">
        <f>P101/I3</f>
        <v>5.0355160771704179</v>
      </c>
      <c r="P19" s="35">
        <f>P101/I28</f>
        <v>60.994956183057447</v>
      </c>
      <c r="Q19" s="36">
        <f>P101/I106</f>
        <v>38.219536302623553</v>
      </c>
    </row>
    <row r="20" spans="1:17" ht="19" customHeight="1">
      <c r="A20" s="14" t="s">
        <v>100</v>
      </c>
      <c r="B20" s="1"/>
      <c r="C20" s="15">
        <f>(C19/B19)-1</f>
        <v>-7.1740836229122751E-3</v>
      </c>
      <c r="D20" s="15">
        <f>(D19/C19)-1</f>
        <v>1.082420684204584</v>
      </c>
      <c r="E20" s="15">
        <f>(E19/D19)-1</f>
        <v>0.69467577531988733</v>
      </c>
      <c r="F20" s="15">
        <f t="shared" ref="F20:M20" si="5">(F19/E19)-1</f>
        <v>-0.33148838965210548</v>
      </c>
      <c r="G20" s="15">
        <f t="shared" si="5"/>
        <v>0.50602524957646189</v>
      </c>
      <c r="H20" s="15">
        <f t="shared" si="5"/>
        <v>6.7717436207060944E-2</v>
      </c>
      <c r="I20" s="16">
        <f>(I19/H19)-1</f>
        <v>-1.8017857142857143</v>
      </c>
      <c r="J20" s="16">
        <f t="shared" si="5"/>
        <v>0.39123979213066074</v>
      </c>
      <c r="K20" s="16">
        <f t="shared" si="5"/>
        <v>0.61419423692636066</v>
      </c>
      <c r="L20" s="16">
        <f t="shared" si="5"/>
        <v>0.36628099173553719</v>
      </c>
      <c r="M20" s="16">
        <f t="shared" si="5"/>
        <v>0.32954270505685934</v>
      </c>
    </row>
    <row r="21" spans="1:17" ht="20">
      <c r="A21" s="5" t="s">
        <v>15</v>
      </c>
      <c r="B21" s="2">
        <v>-0.50590000000000002</v>
      </c>
      <c r="C21" s="2">
        <v>-0.27689999999999998</v>
      </c>
      <c r="D21" s="2">
        <v>-0.33950000000000002</v>
      </c>
      <c r="E21" s="2">
        <v>-0.36549999999999999</v>
      </c>
      <c r="F21" s="2">
        <v>-0.17169999999999999</v>
      </c>
      <c r="G21" s="2">
        <v>-0.1825</v>
      </c>
      <c r="H21" s="2">
        <f>H19/H3</f>
        <v>-0.15715622076707203</v>
      </c>
      <c r="I21" s="40">
        <f>I19/I3</f>
        <v>0.10827974276527332</v>
      </c>
      <c r="J21" s="40">
        <f t="shared" ref="J21:M21" si="6">J19/J3</f>
        <v>0.12662162162162163</v>
      </c>
      <c r="K21" s="40">
        <f t="shared" si="6"/>
        <v>0.16386782231852653</v>
      </c>
      <c r="L21" s="40">
        <f t="shared" si="6"/>
        <v>0.18898033836305442</v>
      </c>
      <c r="M21" s="40">
        <f t="shared" si="6"/>
        <v>0.2139797507788162</v>
      </c>
      <c r="P21" s="19" t="s">
        <v>163</v>
      </c>
      <c r="Q21" s="20" t="s">
        <v>164</v>
      </c>
    </row>
    <row r="22" spans="1:17" ht="19">
      <c r="A22" s="6" t="s">
        <v>16</v>
      </c>
      <c r="B22" s="10">
        <v>-47172000</v>
      </c>
      <c r="C22" s="10">
        <v>-47994000</v>
      </c>
      <c r="D22" s="10">
        <v>-101356000</v>
      </c>
      <c r="E22" s="10">
        <v>-171105000</v>
      </c>
      <c r="F22" s="10">
        <v>-129478000</v>
      </c>
      <c r="G22" s="10">
        <v>-173680000</v>
      </c>
      <c r="H22" s="10">
        <v>-188000000</v>
      </c>
      <c r="P22" s="37">
        <f>(-1*H98)/P101</f>
        <v>0</v>
      </c>
      <c r="Q22" s="38">
        <f>H107/P101</f>
        <v>5.2645341402915817E-3</v>
      </c>
    </row>
    <row r="23" spans="1:17" ht="19">
      <c r="A23" s="5" t="s">
        <v>17</v>
      </c>
      <c r="B23" s="2">
        <v>-0.53500000000000003</v>
      </c>
      <c r="C23" s="2">
        <v>-0.30009999999999998</v>
      </c>
      <c r="D23" s="2">
        <v>-0.37309999999999999</v>
      </c>
      <c r="E23" s="2">
        <v>-0.40010000000000001</v>
      </c>
      <c r="F23" s="2">
        <v>-0.21279999999999999</v>
      </c>
      <c r="G23" s="2">
        <v>-0.2014</v>
      </c>
      <c r="H23" s="2">
        <f>H22/H3</f>
        <v>-0.17586529466791395</v>
      </c>
    </row>
    <row r="24" spans="1:17" ht="19">
      <c r="A24" s="5" t="s">
        <v>18</v>
      </c>
      <c r="B24" s="1">
        <v>-583000</v>
      </c>
      <c r="C24" s="1">
        <v>-1357000</v>
      </c>
      <c r="D24" s="1">
        <v>3441000</v>
      </c>
      <c r="E24" s="1">
        <v>1963000</v>
      </c>
      <c r="F24" s="1">
        <v>7764000</v>
      </c>
      <c r="G24" s="1">
        <v>-24109000</v>
      </c>
      <c r="H24" s="1">
        <v>4000000</v>
      </c>
    </row>
    <row r="25" spans="1:17" ht="19">
      <c r="A25" s="6" t="s">
        <v>19</v>
      </c>
      <c r="B25" s="10">
        <v>-47755000</v>
      </c>
      <c r="C25" s="10">
        <v>-49351000</v>
      </c>
      <c r="D25" s="10">
        <v>-97915000</v>
      </c>
      <c r="E25" s="10">
        <v>-169142000</v>
      </c>
      <c r="F25" s="10">
        <v>-121714000</v>
      </c>
      <c r="G25" s="10">
        <v>-197789000</v>
      </c>
      <c r="H25" s="10">
        <v>-217000000</v>
      </c>
    </row>
    <row r="26" spans="1:17" ht="19">
      <c r="A26" s="5" t="s">
        <v>20</v>
      </c>
      <c r="B26" s="2">
        <v>-0.54159999999999997</v>
      </c>
      <c r="C26" s="2">
        <v>-0.30859999999999999</v>
      </c>
      <c r="D26" s="2">
        <v>-0.3604</v>
      </c>
      <c r="E26" s="2">
        <v>-0.39550000000000002</v>
      </c>
      <c r="F26" s="2">
        <v>-0.2</v>
      </c>
      <c r="G26" s="2">
        <v>-0.22939999999999999</v>
      </c>
      <c r="H26" s="2">
        <f>H25/H3</f>
        <v>-0.2029934518241347</v>
      </c>
    </row>
    <row r="27" spans="1:17" ht="19">
      <c r="A27" s="5" t="s">
        <v>21</v>
      </c>
      <c r="B27" s="1">
        <v>4213000</v>
      </c>
      <c r="C27" s="1">
        <v>3376000</v>
      </c>
      <c r="D27" s="1">
        <v>4388000</v>
      </c>
      <c r="E27" s="1">
        <v>-1968000</v>
      </c>
      <c r="F27" s="1">
        <v>7720000</v>
      </c>
      <c r="G27" s="1">
        <v>6059000</v>
      </c>
      <c r="H27" s="1">
        <v>19000000</v>
      </c>
    </row>
    <row r="28" spans="1:17" ht="20" thickBot="1">
      <c r="A28" s="7" t="s">
        <v>22</v>
      </c>
      <c r="B28" s="11">
        <v>-51968000</v>
      </c>
      <c r="C28" s="11">
        <v>-52727000</v>
      </c>
      <c r="D28" s="11">
        <v>-102303000</v>
      </c>
      <c r="E28" s="11">
        <v>-167174000</v>
      </c>
      <c r="F28" s="11">
        <v>-129434000</v>
      </c>
      <c r="G28" s="11">
        <v>-203848000</v>
      </c>
      <c r="H28" s="11">
        <v>-236000000</v>
      </c>
      <c r="I28" s="41">
        <v>102700000</v>
      </c>
      <c r="J28" s="41">
        <v>152700000</v>
      </c>
      <c r="K28" s="41">
        <v>238500000</v>
      </c>
      <c r="L28" s="41">
        <v>161700000</v>
      </c>
      <c r="M28" s="41">
        <v>278900000</v>
      </c>
    </row>
    <row r="29" spans="1:17" ht="20" customHeight="1" thickTop="1">
      <c r="A29" s="14" t="s">
        <v>101</v>
      </c>
      <c r="B29" s="1"/>
      <c r="C29" s="15">
        <f>(C28/B28)-1</f>
        <v>1.4605141625615659E-2</v>
      </c>
      <c r="D29" s="15">
        <f>(D28/C28)-1</f>
        <v>0.94023934606558313</v>
      </c>
      <c r="E29" s="15">
        <f>(E28/D28)-1</f>
        <v>0.63410652669032186</v>
      </c>
      <c r="F29" s="15">
        <f t="shared" ref="F29:M29" si="7">(F28/E28)-1</f>
        <v>-0.22575280845107493</v>
      </c>
      <c r="G29" s="15">
        <f t="shared" si="7"/>
        <v>0.57491849127740768</v>
      </c>
      <c r="H29" s="15">
        <f t="shared" si="7"/>
        <v>0.15772536399670334</v>
      </c>
      <c r="I29" s="16">
        <f>(I28/H28)-1</f>
        <v>-1.4351694915254236</v>
      </c>
      <c r="J29" s="16">
        <f t="shared" si="7"/>
        <v>0.48685491723466412</v>
      </c>
      <c r="K29" s="16">
        <f t="shared" si="7"/>
        <v>0.56188605108055012</v>
      </c>
      <c r="L29" s="16">
        <f t="shared" si="7"/>
        <v>-0.32201257861635224</v>
      </c>
      <c r="M29" s="16">
        <f t="shared" si="7"/>
        <v>0.7247990105132962</v>
      </c>
    </row>
    <row r="30" spans="1:17" ht="19">
      <c r="A30" s="5" t="s">
        <v>23</v>
      </c>
      <c r="B30" s="2">
        <v>-0.58940000000000003</v>
      </c>
      <c r="C30" s="2">
        <v>-0.32969999999999999</v>
      </c>
      <c r="D30" s="2">
        <v>-0.37659999999999999</v>
      </c>
      <c r="E30" s="2">
        <v>-0.39090000000000003</v>
      </c>
      <c r="F30" s="2">
        <v>-0.2127</v>
      </c>
      <c r="G30" s="2">
        <v>-0.2364</v>
      </c>
      <c r="H30" s="2">
        <f>H28/H3</f>
        <v>-0.22076707202993451</v>
      </c>
      <c r="I30" s="42">
        <f>I28/I3</f>
        <v>8.2556270096463019E-2</v>
      </c>
      <c r="J30" s="42">
        <f t="shared" ref="J30:M30" si="8">J28/J3</f>
        <v>0.10317567567567568</v>
      </c>
      <c r="K30" s="42">
        <f t="shared" si="8"/>
        <v>0.1291982665222102</v>
      </c>
      <c r="L30" s="42">
        <f t="shared" si="8"/>
        <v>7.3936899862825783E-2</v>
      </c>
      <c r="M30" s="42">
        <f t="shared" si="8"/>
        <v>0.10860591900311527</v>
      </c>
    </row>
    <row r="31" spans="1:17" ht="19">
      <c r="A31" s="5" t="s">
        <v>24</v>
      </c>
      <c r="B31" s="12">
        <v>-0.84</v>
      </c>
      <c r="C31" s="12">
        <v>-0.86</v>
      </c>
      <c r="D31" s="12">
        <v>-1.86</v>
      </c>
      <c r="E31" s="12">
        <v>-2.12</v>
      </c>
      <c r="F31" s="12">
        <v>-1.48</v>
      </c>
      <c r="G31" s="12">
        <v>-2.2000000000000002</v>
      </c>
      <c r="H31" s="12">
        <v>-2.4700000000000002</v>
      </c>
      <c r="I31" s="43">
        <v>1.05</v>
      </c>
      <c r="J31" s="43">
        <v>1.57</v>
      </c>
      <c r="K31" s="43">
        <v>2.4500000000000002</v>
      </c>
      <c r="L31" s="43">
        <v>1.66</v>
      </c>
      <c r="M31" s="43">
        <v>2.86</v>
      </c>
    </row>
    <row r="32" spans="1:17" ht="19">
      <c r="A32" s="5" t="s">
        <v>25</v>
      </c>
      <c r="B32" s="12">
        <v>-0.84</v>
      </c>
      <c r="C32" s="12">
        <v>-0.86</v>
      </c>
      <c r="D32" s="12">
        <v>-1.86</v>
      </c>
      <c r="E32" s="12">
        <v>-2.12</v>
      </c>
      <c r="F32" s="12">
        <v>-1.48</v>
      </c>
      <c r="G32" s="12">
        <v>-2.2000000000000002</v>
      </c>
      <c r="H32" s="12">
        <v>-2.4700000000000002</v>
      </c>
    </row>
    <row r="33" spans="1:8" ht="19">
      <c r="A33" s="5" t="s">
        <v>26</v>
      </c>
      <c r="B33" s="1">
        <v>61917629</v>
      </c>
      <c r="C33" s="1">
        <v>60973258</v>
      </c>
      <c r="D33" s="1">
        <v>54893365</v>
      </c>
      <c r="E33" s="1">
        <v>78799732</v>
      </c>
      <c r="F33" s="1">
        <v>87207094</v>
      </c>
      <c r="G33" s="1">
        <v>92547145</v>
      </c>
      <c r="H33" s="1">
        <v>96000000</v>
      </c>
    </row>
    <row r="34" spans="1:8" ht="19">
      <c r="A34" s="5" t="s">
        <v>27</v>
      </c>
      <c r="B34" s="1">
        <v>61917629</v>
      </c>
      <c r="C34" s="1">
        <v>60973258</v>
      </c>
      <c r="D34" s="1">
        <v>54893365</v>
      </c>
      <c r="E34" s="1">
        <v>78799732</v>
      </c>
      <c r="F34" s="1">
        <v>87207094</v>
      </c>
      <c r="G34" s="1">
        <v>92547145</v>
      </c>
      <c r="H34" s="1">
        <v>96000000</v>
      </c>
    </row>
    <row r="35" spans="1:8" ht="20" customHeight="1">
      <c r="A35" s="14" t="s">
        <v>102</v>
      </c>
      <c r="B35" s="1"/>
      <c r="C35" s="23">
        <f>(C34-B34)/B34</f>
        <v>-1.5252053659871246E-2</v>
      </c>
      <c r="D35" s="23">
        <f t="shared" ref="D35:H35" si="9">(D34-C34)/C34</f>
        <v>-9.9714091052835005E-2</v>
      </c>
      <c r="E35" s="23">
        <f t="shared" si="9"/>
        <v>0.43550558432699471</v>
      </c>
      <c r="F35" s="23">
        <f t="shared" si="9"/>
        <v>0.10669277403126193</v>
      </c>
      <c r="G35" s="23">
        <f t="shared" si="9"/>
        <v>6.1234135378940617E-2</v>
      </c>
      <c r="H35" s="23">
        <f t="shared" si="9"/>
        <v>3.7309146597661116E-2</v>
      </c>
    </row>
    <row r="36" spans="1:8" ht="19">
      <c r="A36" s="5" t="s">
        <v>28</v>
      </c>
      <c r="B36" s="13" t="s">
        <v>92</v>
      </c>
      <c r="C36" s="13" t="s">
        <v>92</v>
      </c>
      <c r="D36" s="13" t="s">
        <v>92</v>
      </c>
      <c r="E36" s="13" t="s">
        <v>92</v>
      </c>
      <c r="F36" s="13" t="s">
        <v>92</v>
      </c>
      <c r="G36" s="13" t="s">
        <v>92</v>
      </c>
      <c r="H36" s="13" t="s">
        <v>92</v>
      </c>
    </row>
    <row r="37" spans="1:8" ht="21">
      <c r="A37" s="4" t="s">
        <v>29</v>
      </c>
      <c r="B37" s="9" t="s">
        <v>90</v>
      </c>
      <c r="C37" s="9" t="s">
        <v>90</v>
      </c>
      <c r="D37" s="9" t="s">
        <v>90</v>
      </c>
      <c r="E37" s="9" t="s">
        <v>90</v>
      </c>
      <c r="F37" s="9" t="s">
        <v>90</v>
      </c>
      <c r="G37" s="9" t="s">
        <v>90</v>
      </c>
      <c r="H37" s="9" t="s">
        <v>90</v>
      </c>
    </row>
    <row r="38" spans="1:8" ht="19">
      <c r="A38" s="5" t="s">
        <v>30</v>
      </c>
      <c r="B38" s="1">
        <v>59640000</v>
      </c>
      <c r="C38" s="1">
        <v>50941000</v>
      </c>
      <c r="D38" s="1">
        <v>298000000</v>
      </c>
      <c r="E38" s="1">
        <v>297081000</v>
      </c>
      <c r="F38" s="1">
        <v>400814000</v>
      </c>
      <c r="G38" s="1">
        <v>860949000</v>
      </c>
      <c r="H38" s="1">
        <v>644000000</v>
      </c>
    </row>
    <row r="39" spans="1:8" ht="19">
      <c r="A39" s="5" t="s">
        <v>31</v>
      </c>
      <c r="B39" s="1">
        <v>15000000</v>
      </c>
      <c r="C39" s="1" t="s">
        <v>91</v>
      </c>
      <c r="D39" s="1" t="s">
        <v>91</v>
      </c>
      <c r="E39" s="1" t="s">
        <v>91</v>
      </c>
      <c r="F39" s="1" t="s">
        <v>91</v>
      </c>
      <c r="G39" s="1" t="s">
        <v>91</v>
      </c>
      <c r="H39" s="1">
        <v>271000000</v>
      </c>
    </row>
    <row r="40" spans="1:8" ht="19">
      <c r="A40" s="5" t="s">
        <v>32</v>
      </c>
      <c r="B40" s="1">
        <v>74640000</v>
      </c>
      <c r="C40" s="1">
        <v>50941000</v>
      </c>
      <c r="D40" s="1">
        <v>298000000</v>
      </c>
      <c r="E40" s="1">
        <v>297081000</v>
      </c>
      <c r="F40" s="1">
        <v>400814000</v>
      </c>
      <c r="G40" s="1">
        <v>860949000</v>
      </c>
      <c r="H40" s="1">
        <f>H38+H39</f>
        <v>915000000</v>
      </c>
    </row>
    <row r="41" spans="1:8" ht="19">
      <c r="A41" s="5" t="s">
        <v>33</v>
      </c>
      <c r="B41" s="1">
        <v>30089000</v>
      </c>
      <c r="C41" s="1">
        <v>53233000</v>
      </c>
      <c r="D41" s="1">
        <v>81274000</v>
      </c>
      <c r="E41" s="1">
        <v>128690000</v>
      </c>
      <c r="F41" s="1">
        <v>160415000</v>
      </c>
      <c r="G41" s="1">
        <v>215228000</v>
      </c>
      <c r="H41" s="1">
        <v>261000000</v>
      </c>
    </row>
    <row r="42" spans="1:8" ht="19">
      <c r="A42" s="5" t="s">
        <v>34</v>
      </c>
      <c r="B42" s="1" t="s">
        <v>91</v>
      </c>
      <c r="C42" s="1" t="s">
        <v>91</v>
      </c>
      <c r="D42" s="1" t="s">
        <v>91</v>
      </c>
      <c r="E42" s="1" t="s">
        <v>91</v>
      </c>
      <c r="F42" s="1" t="s">
        <v>91</v>
      </c>
      <c r="G42" s="1" t="s">
        <v>91</v>
      </c>
      <c r="H42" s="1" t="s">
        <v>91</v>
      </c>
    </row>
    <row r="43" spans="1:8" ht="19">
      <c r="A43" s="5" t="s">
        <v>35</v>
      </c>
      <c r="B43" s="1">
        <v>15842000</v>
      </c>
      <c r="C43" s="1">
        <v>28054000</v>
      </c>
      <c r="D43" s="1">
        <v>50367000</v>
      </c>
      <c r="E43" s="1">
        <v>54468000</v>
      </c>
      <c r="F43" s="1">
        <v>75985000</v>
      </c>
      <c r="G43" s="1">
        <v>87531000</v>
      </c>
      <c r="H43" s="1">
        <v>98000000</v>
      </c>
    </row>
    <row r="44" spans="1:8" ht="19">
      <c r="A44" s="6" t="s">
        <v>36</v>
      </c>
      <c r="B44" s="10">
        <v>120571000</v>
      </c>
      <c r="C44" s="10">
        <v>132228000</v>
      </c>
      <c r="D44" s="10">
        <v>429641000</v>
      </c>
      <c r="E44" s="10">
        <v>480239000</v>
      </c>
      <c r="F44" s="10">
        <v>637214000</v>
      </c>
      <c r="G44" s="10">
        <v>1163708000</v>
      </c>
      <c r="H44" s="10">
        <v>1274000000</v>
      </c>
    </row>
    <row r="45" spans="1:8" ht="19">
      <c r="A45" s="5" t="s">
        <v>37</v>
      </c>
      <c r="B45" s="1">
        <v>4580000</v>
      </c>
      <c r="C45" s="1">
        <v>4536000</v>
      </c>
      <c r="D45" s="1">
        <v>5448000</v>
      </c>
      <c r="E45" s="1">
        <v>40543000</v>
      </c>
      <c r="F45" s="1">
        <v>34345000</v>
      </c>
      <c r="G45" s="1">
        <v>32644000</v>
      </c>
      <c r="H45" s="1">
        <v>25000000</v>
      </c>
    </row>
    <row r="46" spans="1:8" ht="19">
      <c r="A46" s="5" t="s">
        <v>38</v>
      </c>
      <c r="B46" s="1">
        <v>12057000</v>
      </c>
      <c r="C46" s="1">
        <v>19182000</v>
      </c>
      <c r="D46" s="1">
        <v>19846000</v>
      </c>
      <c r="E46" s="1">
        <v>197877000</v>
      </c>
      <c r="F46" s="1">
        <v>198851000</v>
      </c>
      <c r="G46" s="1">
        <v>303906000</v>
      </c>
      <c r="H46" s="1">
        <v>303906000</v>
      </c>
    </row>
    <row r="47" spans="1:8" ht="19">
      <c r="A47" s="5" t="s">
        <v>39</v>
      </c>
      <c r="B47" s="1">
        <v>2721000</v>
      </c>
      <c r="C47" s="1">
        <v>8297000</v>
      </c>
      <c r="D47" s="1">
        <v>6723000</v>
      </c>
      <c r="E47" s="1">
        <v>50455000</v>
      </c>
      <c r="F47" s="1">
        <v>36286000</v>
      </c>
      <c r="G47" s="1">
        <v>45800000</v>
      </c>
      <c r="H47" s="1">
        <v>29000000</v>
      </c>
    </row>
    <row r="48" spans="1:8" ht="19">
      <c r="A48" s="5" t="s">
        <v>40</v>
      </c>
      <c r="B48" s="1">
        <v>14778000</v>
      </c>
      <c r="C48" s="1">
        <v>27479000</v>
      </c>
      <c r="D48" s="1">
        <v>26569000</v>
      </c>
      <c r="E48" s="1">
        <v>248332000</v>
      </c>
      <c r="F48" s="1">
        <v>235137000</v>
      </c>
      <c r="G48" s="1">
        <v>349706000</v>
      </c>
      <c r="H48" s="1">
        <f>H46+H47</f>
        <v>332906000</v>
      </c>
    </row>
    <row r="49" spans="1:8" ht="19">
      <c r="A49" s="5" t="s">
        <v>41</v>
      </c>
      <c r="B49" s="1" t="s">
        <v>91</v>
      </c>
      <c r="C49" s="1" t="s">
        <v>91</v>
      </c>
      <c r="D49" s="1" t="s">
        <v>91</v>
      </c>
      <c r="E49" s="1" t="s">
        <v>91</v>
      </c>
      <c r="F49" s="1" t="s">
        <v>91</v>
      </c>
      <c r="G49" s="1" t="s">
        <v>91</v>
      </c>
      <c r="H49" s="1" t="s">
        <v>91</v>
      </c>
    </row>
    <row r="50" spans="1:8" ht="19">
      <c r="A50" s="5" t="s">
        <v>42</v>
      </c>
      <c r="B50" s="1">
        <v>1194000</v>
      </c>
      <c r="C50" s="1">
        <v>3946000</v>
      </c>
      <c r="D50" s="1">
        <v>1748000</v>
      </c>
      <c r="E50" s="1">
        <v>3164000</v>
      </c>
      <c r="F50" s="1">
        <v>3697000</v>
      </c>
      <c r="G50" s="1">
        <v>5811000</v>
      </c>
      <c r="H50" s="1">
        <v>0</v>
      </c>
    </row>
    <row r="51" spans="1:8" ht="19">
      <c r="A51" s="5" t="s">
        <v>43</v>
      </c>
      <c r="B51" s="1">
        <v>3224000</v>
      </c>
      <c r="C51" s="1">
        <v>14824000</v>
      </c>
      <c r="D51" s="1">
        <v>22332000</v>
      </c>
      <c r="E51" s="1">
        <v>31633000</v>
      </c>
      <c r="F51" s="1">
        <v>62779000</v>
      </c>
      <c r="G51" s="1">
        <v>91062000</v>
      </c>
      <c r="H51" s="1">
        <v>97000000</v>
      </c>
    </row>
    <row r="52" spans="1:8" ht="19">
      <c r="A52" s="5" t="s">
        <v>44</v>
      </c>
      <c r="B52" s="1">
        <v>23776000</v>
      </c>
      <c r="C52" s="1">
        <v>50785000</v>
      </c>
      <c r="D52" s="1">
        <v>56097000</v>
      </c>
      <c r="E52" s="1">
        <v>323672000</v>
      </c>
      <c r="F52" s="1">
        <v>335958000</v>
      </c>
      <c r="G52" s="1">
        <v>479223000</v>
      </c>
      <c r="H52" s="1">
        <v>469000000</v>
      </c>
    </row>
    <row r="53" spans="1:8" ht="19">
      <c r="A53" s="5" t="s">
        <v>45</v>
      </c>
      <c r="B53" s="1" t="s">
        <v>91</v>
      </c>
      <c r="C53" s="1" t="s">
        <v>91</v>
      </c>
      <c r="D53" s="1" t="s">
        <v>91</v>
      </c>
      <c r="E53" s="1" t="s">
        <v>91</v>
      </c>
      <c r="F53" s="1" t="s">
        <v>91</v>
      </c>
      <c r="G53" s="1" t="s">
        <v>91</v>
      </c>
      <c r="H53" s="1" t="s">
        <v>91</v>
      </c>
    </row>
    <row r="54" spans="1:8" ht="20" thickBot="1">
      <c r="A54" s="7" t="s">
        <v>46</v>
      </c>
      <c r="B54" s="11">
        <v>144347000</v>
      </c>
      <c r="C54" s="11">
        <v>183013000</v>
      </c>
      <c r="D54" s="11">
        <v>485738000</v>
      </c>
      <c r="E54" s="11">
        <v>803911000</v>
      </c>
      <c r="F54" s="11">
        <v>973172000</v>
      </c>
      <c r="G54" s="11">
        <v>1642931000</v>
      </c>
      <c r="H54" s="11">
        <v>1743000000</v>
      </c>
    </row>
    <row r="55" spans="1:8" ht="20" thickTop="1">
      <c r="A55" s="5" t="s">
        <v>47</v>
      </c>
      <c r="B55" s="1">
        <v>1799000</v>
      </c>
      <c r="C55" s="1">
        <v>2176000</v>
      </c>
      <c r="D55" s="1">
        <v>4450000</v>
      </c>
      <c r="E55" s="1">
        <v>11485000</v>
      </c>
      <c r="F55" s="1">
        <v>7248000</v>
      </c>
      <c r="G55" s="1">
        <v>28403000</v>
      </c>
      <c r="H55" s="1">
        <v>35000000</v>
      </c>
    </row>
    <row r="56" spans="1:8" ht="19">
      <c r="A56" s="5" t="s">
        <v>48</v>
      </c>
      <c r="B56" s="1" t="s">
        <v>91</v>
      </c>
      <c r="C56" s="1" t="s">
        <v>91</v>
      </c>
      <c r="D56" s="1" t="s">
        <v>91</v>
      </c>
      <c r="E56" s="1">
        <v>7639000</v>
      </c>
      <c r="F56" s="1">
        <v>8528000</v>
      </c>
      <c r="G56" s="1">
        <v>11219000</v>
      </c>
      <c r="H56" s="1">
        <v>13000000</v>
      </c>
    </row>
    <row r="57" spans="1:8" ht="19">
      <c r="A57" s="5" t="s">
        <v>49</v>
      </c>
      <c r="B57" s="1">
        <v>3294000</v>
      </c>
      <c r="C57" s="1">
        <v>4893000</v>
      </c>
      <c r="D57" s="1">
        <v>4385000</v>
      </c>
      <c r="E57" s="1">
        <v>7230000</v>
      </c>
      <c r="F57" s="1">
        <v>10089000</v>
      </c>
      <c r="G57" s="1">
        <v>13212000</v>
      </c>
      <c r="H57" s="1">
        <v>0</v>
      </c>
    </row>
    <row r="58" spans="1:8" ht="19">
      <c r="A58" s="5" t="s">
        <v>50</v>
      </c>
      <c r="B58" s="1">
        <v>49394000</v>
      </c>
      <c r="C58" s="1">
        <v>95929000</v>
      </c>
      <c r="D58" s="1">
        <v>158243000</v>
      </c>
      <c r="E58" s="1">
        <v>231681000</v>
      </c>
      <c r="F58" s="1">
        <v>352805000</v>
      </c>
      <c r="G58" s="1">
        <v>431776000</v>
      </c>
      <c r="H58" s="1">
        <v>529000000</v>
      </c>
    </row>
    <row r="59" spans="1:8" ht="19">
      <c r="A59" s="5" t="s">
        <v>51</v>
      </c>
      <c r="B59" s="1">
        <v>9185000</v>
      </c>
      <c r="C59" s="1">
        <v>22114000</v>
      </c>
      <c r="D59" s="1">
        <v>36502000</v>
      </c>
      <c r="E59" s="1">
        <v>63389000</v>
      </c>
      <c r="F59" s="1">
        <v>71345000</v>
      </c>
      <c r="G59" s="1">
        <v>108720000</v>
      </c>
      <c r="H59" s="1">
        <v>76000000</v>
      </c>
    </row>
    <row r="60" spans="1:8" ht="19">
      <c r="A60" s="6" t="s">
        <v>52</v>
      </c>
      <c r="B60" s="10">
        <v>63672000</v>
      </c>
      <c r="C60" s="10">
        <v>125112000</v>
      </c>
      <c r="D60" s="10">
        <v>203580000</v>
      </c>
      <c r="E60" s="10">
        <v>321424000</v>
      </c>
      <c r="F60" s="10">
        <v>450015000</v>
      </c>
      <c r="G60" s="10">
        <v>593330000</v>
      </c>
      <c r="H60" s="10">
        <v>717000000</v>
      </c>
    </row>
    <row r="61" spans="1:8" ht="19">
      <c r="A61" s="5" t="s">
        <v>53</v>
      </c>
      <c r="B61" s="1" t="s">
        <v>91</v>
      </c>
      <c r="C61" s="1" t="s">
        <v>91</v>
      </c>
      <c r="D61" s="1" t="s">
        <v>91</v>
      </c>
      <c r="E61" s="1" t="s">
        <v>91</v>
      </c>
      <c r="F61" s="1">
        <v>19649000</v>
      </c>
      <c r="G61" s="1">
        <v>583002000</v>
      </c>
      <c r="H61" s="1">
        <v>581000000</v>
      </c>
    </row>
    <row r="62" spans="1:8" ht="19">
      <c r="A62" s="5" t="s">
        <v>50</v>
      </c>
      <c r="B62" s="1">
        <v>4758000</v>
      </c>
      <c r="C62" s="1">
        <v>6632000</v>
      </c>
      <c r="D62" s="1">
        <v>12423000</v>
      </c>
      <c r="E62" s="1">
        <v>28021000</v>
      </c>
      <c r="F62" s="1">
        <v>44895000</v>
      </c>
      <c r="G62" s="1">
        <v>33518000</v>
      </c>
      <c r="H62" s="1">
        <v>34000000</v>
      </c>
    </row>
    <row r="63" spans="1:8" ht="19">
      <c r="A63" s="5" t="s">
        <v>54</v>
      </c>
      <c r="B63" s="1" t="s">
        <v>91</v>
      </c>
      <c r="C63" s="1" t="s">
        <v>91</v>
      </c>
      <c r="D63" s="1" t="s">
        <v>91</v>
      </c>
      <c r="E63" s="1" t="s">
        <v>91</v>
      </c>
      <c r="F63" s="1" t="s">
        <v>91</v>
      </c>
      <c r="G63" s="1" t="s">
        <v>91</v>
      </c>
      <c r="H63" s="1" t="s">
        <v>91</v>
      </c>
    </row>
    <row r="64" spans="1:8" ht="19">
      <c r="A64" s="5" t="s">
        <v>55</v>
      </c>
      <c r="B64" s="1">
        <v>204455000</v>
      </c>
      <c r="C64" s="1">
        <v>204798000</v>
      </c>
      <c r="D64" s="1">
        <v>6723000</v>
      </c>
      <c r="E64" s="1">
        <v>40819000</v>
      </c>
      <c r="F64" s="1">
        <v>7782000</v>
      </c>
      <c r="G64" s="1">
        <v>17648000</v>
      </c>
      <c r="H64" s="1">
        <v>12000000</v>
      </c>
    </row>
    <row r="65" spans="1:16" ht="19">
      <c r="A65" s="5" t="s">
        <v>56</v>
      </c>
      <c r="B65" s="1">
        <v>209213000</v>
      </c>
      <c r="C65" s="1">
        <v>211430000</v>
      </c>
      <c r="D65" s="1">
        <v>19146000</v>
      </c>
      <c r="E65" s="1">
        <v>68840000</v>
      </c>
      <c r="F65" s="1">
        <v>72326000</v>
      </c>
      <c r="G65" s="1">
        <v>634168000</v>
      </c>
      <c r="H65" s="1">
        <v>628000000</v>
      </c>
    </row>
    <row r="66" spans="1:16" ht="19">
      <c r="A66" s="5" t="s">
        <v>57</v>
      </c>
      <c r="B66" s="1" t="s">
        <v>91</v>
      </c>
      <c r="C66" s="1" t="s">
        <v>91</v>
      </c>
      <c r="D66" s="1" t="s">
        <v>91</v>
      </c>
      <c r="E66" s="1" t="s">
        <v>91</v>
      </c>
      <c r="F66" s="1" t="s">
        <v>91</v>
      </c>
      <c r="G66" s="1" t="s">
        <v>91</v>
      </c>
      <c r="H66" s="1" t="s">
        <v>91</v>
      </c>
    </row>
    <row r="67" spans="1:16" ht="19">
      <c r="A67" s="6" t="s">
        <v>58</v>
      </c>
      <c r="B67" s="10">
        <v>272885000</v>
      </c>
      <c r="C67" s="10">
        <v>336542000</v>
      </c>
      <c r="D67" s="10">
        <v>222726000</v>
      </c>
      <c r="E67" s="10">
        <v>390264000</v>
      </c>
      <c r="F67" s="10">
        <v>522341000</v>
      </c>
      <c r="G67" s="10">
        <v>1227498000</v>
      </c>
      <c r="H67" s="10">
        <v>1345000000</v>
      </c>
    </row>
    <row r="68" spans="1:16" ht="19">
      <c r="A68" s="5" t="s">
        <v>59</v>
      </c>
      <c r="B68" s="1">
        <v>31000</v>
      </c>
      <c r="C68" s="1">
        <v>33000</v>
      </c>
      <c r="D68" s="1">
        <v>754000</v>
      </c>
      <c r="E68" s="1">
        <v>856000</v>
      </c>
      <c r="F68" s="1">
        <v>948000</v>
      </c>
      <c r="G68" s="1">
        <v>990000</v>
      </c>
      <c r="H68" s="1">
        <v>990000</v>
      </c>
    </row>
    <row r="69" spans="1:16" ht="19">
      <c r="A69" s="5" t="s">
        <v>60</v>
      </c>
      <c r="B69" s="1">
        <v>-162047000</v>
      </c>
      <c r="C69" s="1">
        <v>-214774000</v>
      </c>
      <c r="D69" s="1">
        <v>-317077000</v>
      </c>
      <c r="E69" s="1">
        <v>-484251000</v>
      </c>
      <c r="F69" s="1">
        <v>-613318000</v>
      </c>
      <c r="G69" s="1">
        <v>-817166000</v>
      </c>
      <c r="H69" s="1">
        <v>-1053000000</v>
      </c>
    </row>
    <row r="70" spans="1:16" ht="19">
      <c r="A70" s="5" t="s">
        <v>61</v>
      </c>
      <c r="B70" s="1">
        <v>-1892000</v>
      </c>
      <c r="C70" s="1">
        <v>-961000</v>
      </c>
      <c r="D70" s="1">
        <v>-1431000</v>
      </c>
      <c r="E70" s="1">
        <v>-1377000</v>
      </c>
      <c r="F70" s="1">
        <v>-8105000</v>
      </c>
      <c r="G70" s="1">
        <v>-18130000</v>
      </c>
      <c r="H70" s="1">
        <v>-20000000</v>
      </c>
    </row>
    <row r="71" spans="1:16" ht="19">
      <c r="A71" s="5" t="s">
        <v>62</v>
      </c>
      <c r="B71" s="1">
        <v>35370000</v>
      </c>
      <c r="C71" s="1">
        <v>62173000</v>
      </c>
      <c r="D71" s="1">
        <v>580766000</v>
      </c>
      <c r="E71" s="1">
        <v>898419000</v>
      </c>
      <c r="F71" s="1">
        <v>1071306000</v>
      </c>
      <c r="G71" s="1">
        <v>1249739000</v>
      </c>
      <c r="H71" s="1">
        <v>1472000000</v>
      </c>
    </row>
    <row r="72" spans="1:16" ht="19">
      <c r="A72" s="6" t="s">
        <v>63</v>
      </c>
      <c r="B72" s="10">
        <v>-128538000</v>
      </c>
      <c r="C72" s="10">
        <v>-153529000</v>
      </c>
      <c r="D72" s="10">
        <v>263012000</v>
      </c>
      <c r="E72" s="10">
        <v>413647000</v>
      </c>
      <c r="F72" s="10">
        <v>450831000</v>
      </c>
      <c r="G72" s="10">
        <v>415433000</v>
      </c>
      <c r="H72" s="10">
        <v>399000000</v>
      </c>
    </row>
    <row r="73" spans="1:16" ht="20" thickBot="1">
      <c r="A73" s="7" t="s">
        <v>64</v>
      </c>
      <c r="B73" s="11">
        <v>144347000</v>
      </c>
      <c r="C73" s="11">
        <v>183013000</v>
      </c>
      <c r="D73" s="11">
        <v>485738000</v>
      </c>
      <c r="E73" s="11">
        <v>803911000</v>
      </c>
      <c r="F73" s="11">
        <v>973172000</v>
      </c>
      <c r="G73" s="11">
        <v>1642931000</v>
      </c>
      <c r="H73" s="11">
        <f>H67+H72</f>
        <v>1744000000</v>
      </c>
    </row>
    <row r="74" spans="1:16" ht="20" thickTop="1">
      <c r="A74" s="5" t="s">
        <v>28</v>
      </c>
      <c r="B74" s="13" t="s">
        <v>92</v>
      </c>
      <c r="C74" s="13" t="s">
        <v>92</v>
      </c>
      <c r="D74" s="13" t="s">
        <v>92</v>
      </c>
      <c r="E74" s="13" t="s">
        <v>92</v>
      </c>
      <c r="F74" s="13" t="s">
        <v>92</v>
      </c>
      <c r="G74" s="13" t="s">
        <v>92</v>
      </c>
      <c r="H74" s="13" t="s">
        <v>92</v>
      </c>
    </row>
    <row r="75" spans="1:16" ht="21">
      <c r="A75" s="4" t="s">
        <v>65</v>
      </c>
      <c r="B75" s="9" t="s">
        <v>90</v>
      </c>
      <c r="C75" s="9" t="s">
        <v>90</v>
      </c>
      <c r="D75" s="9" t="s">
        <v>90</v>
      </c>
      <c r="E75" s="9" t="s">
        <v>90</v>
      </c>
      <c r="F75" s="9" t="s">
        <v>90</v>
      </c>
      <c r="G75" s="9" t="s">
        <v>90</v>
      </c>
      <c r="H75" s="9" t="s">
        <v>90</v>
      </c>
    </row>
    <row r="76" spans="1:16" ht="19">
      <c r="A76" s="5" t="s">
        <v>66</v>
      </c>
      <c r="B76" s="1">
        <v>-51968000</v>
      </c>
      <c r="C76" s="1">
        <v>-52727000</v>
      </c>
      <c r="D76" s="1">
        <v>-102303000</v>
      </c>
      <c r="E76" s="1">
        <v>-167174000</v>
      </c>
      <c r="F76" s="1">
        <v>-129434000</v>
      </c>
      <c r="G76" s="1">
        <v>-203848000</v>
      </c>
      <c r="H76" s="1">
        <v>-236000000</v>
      </c>
    </row>
    <row r="77" spans="1:16" ht="19">
      <c r="A77" s="5" t="s">
        <v>13</v>
      </c>
      <c r="B77" s="1">
        <v>3150000</v>
      </c>
      <c r="C77" s="1">
        <v>5066000</v>
      </c>
      <c r="D77" s="1">
        <v>5695000</v>
      </c>
      <c r="E77" s="1">
        <v>12859000</v>
      </c>
      <c r="F77" s="1">
        <v>17237000</v>
      </c>
      <c r="G77" s="1">
        <v>19728000</v>
      </c>
      <c r="H77" s="1">
        <v>19728000</v>
      </c>
    </row>
    <row r="78" spans="1:16" ht="19">
      <c r="A78" s="5" t="s">
        <v>67</v>
      </c>
      <c r="B78" s="1">
        <v>663000</v>
      </c>
      <c r="C78" s="1" t="s">
        <v>91</v>
      </c>
      <c r="D78" s="1">
        <v>3621000</v>
      </c>
      <c r="E78" s="1">
        <v>-1539000</v>
      </c>
      <c r="F78" s="1">
        <v>33000</v>
      </c>
      <c r="G78" s="1">
        <v>-2430000</v>
      </c>
      <c r="H78" s="1">
        <v>-2430000</v>
      </c>
    </row>
    <row r="79" spans="1:16" ht="19">
      <c r="A79" s="5" t="s">
        <v>68</v>
      </c>
      <c r="B79" s="1">
        <v>18886000</v>
      </c>
      <c r="C79" s="1">
        <v>12742000</v>
      </c>
      <c r="D79" s="1">
        <v>39942000</v>
      </c>
      <c r="E79" s="1">
        <v>60007000</v>
      </c>
      <c r="F79" s="1">
        <v>93680000</v>
      </c>
      <c r="G79" s="1">
        <v>140612000</v>
      </c>
      <c r="H79" s="1">
        <v>204000000</v>
      </c>
    </row>
    <row r="80" spans="1:16" ht="19">
      <c r="A80" s="14" t="s">
        <v>103</v>
      </c>
      <c r="B80" s="15">
        <f t="shared" ref="B80:G80" si="10">B79/B3</f>
        <v>0.21418283679417535</v>
      </c>
      <c r="C80" s="15">
        <f t="shared" si="10"/>
        <v>7.9669865883014973E-2</v>
      </c>
      <c r="D80" s="15">
        <f t="shared" si="10"/>
        <v>0.14703316363154464</v>
      </c>
      <c r="E80" s="15">
        <f t="shared" si="10"/>
        <v>0.14032786118516441</v>
      </c>
      <c r="F80" s="15">
        <f t="shared" si="10"/>
        <v>0.15395512490776334</v>
      </c>
      <c r="G80" s="15">
        <f t="shared" si="10"/>
        <v>0.16305222560049351</v>
      </c>
      <c r="H80" s="15">
        <f t="shared" ref="H80" si="11">H79/H3</f>
        <v>0.19083255378858746</v>
      </c>
      <c r="I80" s="15"/>
      <c r="J80" s="15"/>
      <c r="K80" s="15"/>
      <c r="L80" s="15"/>
      <c r="M80" s="15"/>
      <c r="N80" s="15"/>
      <c r="O80" s="15"/>
      <c r="P80" s="15"/>
    </row>
    <row r="81" spans="1:16" ht="19">
      <c r="A81" s="5" t="s">
        <v>69</v>
      </c>
      <c r="B81" s="1">
        <v>4715000</v>
      </c>
      <c r="C81" s="1">
        <v>1368000</v>
      </c>
      <c r="D81" s="1">
        <v>7665000</v>
      </c>
      <c r="E81" s="1">
        <v>19590000</v>
      </c>
      <c r="F81" s="1">
        <v>1760000</v>
      </c>
      <c r="G81" s="1">
        <v>-20649000</v>
      </c>
      <c r="H81" s="1">
        <v>-35000000</v>
      </c>
    </row>
    <row r="82" spans="1:16" ht="19">
      <c r="A82" s="5" t="s">
        <v>70</v>
      </c>
      <c r="B82" s="1">
        <v>-11128000</v>
      </c>
      <c r="C82" s="1">
        <v>-21606000</v>
      </c>
      <c r="D82" s="1">
        <v>-29804000</v>
      </c>
      <c r="E82" s="1">
        <v>-46753000</v>
      </c>
      <c r="F82" s="1">
        <v>-24037000</v>
      </c>
      <c r="G82" s="1">
        <v>-62187000</v>
      </c>
      <c r="H82" s="1">
        <v>-46000000</v>
      </c>
    </row>
    <row r="83" spans="1:16" ht="21">
      <c r="A83" s="5" t="s">
        <v>34</v>
      </c>
      <c r="B83" s="1" t="s">
        <v>91</v>
      </c>
      <c r="C83" s="1" t="s">
        <v>91</v>
      </c>
      <c r="D83" s="1" t="s">
        <v>91</v>
      </c>
      <c r="E83" s="1" t="s">
        <v>91</v>
      </c>
      <c r="F83" s="1" t="s">
        <v>91</v>
      </c>
      <c r="G83" s="1" t="s">
        <v>91</v>
      </c>
      <c r="H83" s="1" t="s">
        <v>91</v>
      </c>
      <c r="O83" s="66" t="s">
        <v>125</v>
      </c>
      <c r="P83" s="67"/>
    </row>
    <row r="84" spans="1:16" ht="19">
      <c r="A84" s="5" t="s">
        <v>47</v>
      </c>
      <c r="B84" s="1">
        <v>-241000</v>
      </c>
      <c r="C84" s="1">
        <v>-23000</v>
      </c>
      <c r="D84" s="1">
        <v>2226000</v>
      </c>
      <c r="E84" s="1">
        <v>5968000</v>
      </c>
      <c r="F84" s="1">
        <v>-4775000</v>
      </c>
      <c r="G84" s="1">
        <v>21036000</v>
      </c>
      <c r="H84" s="1">
        <v>-35000000</v>
      </c>
      <c r="O84" s="68" t="s">
        <v>126</v>
      </c>
      <c r="P84" s="68"/>
    </row>
    <row r="85" spans="1:16" ht="20">
      <c r="A85" s="5" t="s">
        <v>71</v>
      </c>
      <c r="B85" s="1">
        <v>17256000</v>
      </c>
      <c r="C85" s="1">
        <v>33362000</v>
      </c>
      <c r="D85" s="1">
        <v>45712000</v>
      </c>
      <c r="E85" s="1">
        <v>59163000</v>
      </c>
      <c r="F85" s="1">
        <v>38667000</v>
      </c>
      <c r="G85" s="1">
        <v>4800000</v>
      </c>
      <c r="H85" s="1">
        <v>4800000</v>
      </c>
      <c r="O85" s="44" t="s">
        <v>127</v>
      </c>
      <c r="P85" s="45">
        <f>H17</f>
        <v>25000000</v>
      </c>
    </row>
    <row r="86" spans="1:16" ht="20">
      <c r="A86" s="5" t="s">
        <v>72</v>
      </c>
      <c r="B86" s="1">
        <v>8447000</v>
      </c>
      <c r="C86" s="1">
        <v>12732000</v>
      </c>
      <c r="D86" s="1">
        <v>21443000</v>
      </c>
      <c r="E86" s="1">
        <v>45693000</v>
      </c>
      <c r="F86" s="1">
        <v>39269000</v>
      </c>
      <c r="G86" s="1">
        <v>72259000</v>
      </c>
      <c r="H86" s="1">
        <v>79000000</v>
      </c>
      <c r="O86" s="44" t="s">
        <v>128</v>
      </c>
      <c r="P86" s="45">
        <f>H56</f>
        <v>13000000</v>
      </c>
    </row>
    <row r="87" spans="1:16" ht="20">
      <c r="A87" s="6" t="s">
        <v>73</v>
      </c>
      <c r="B87" s="10">
        <v>-16107000</v>
      </c>
      <c r="C87" s="10">
        <v>-20819000</v>
      </c>
      <c r="D87" s="10">
        <v>-23937000</v>
      </c>
      <c r="E87" s="10">
        <v>-30564000</v>
      </c>
      <c r="F87" s="10">
        <v>22545000</v>
      </c>
      <c r="G87" s="10">
        <v>5672000</v>
      </c>
      <c r="H87" s="10">
        <v>36000000</v>
      </c>
      <c r="O87" s="44" t="s">
        <v>129</v>
      </c>
      <c r="P87" s="45">
        <f>H61</f>
        <v>581000000</v>
      </c>
    </row>
    <row r="88" spans="1:16" ht="20">
      <c r="A88" s="5" t="s">
        <v>74</v>
      </c>
      <c r="B88" s="1">
        <v>-843000</v>
      </c>
      <c r="C88" s="1">
        <v>-2968000</v>
      </c>
      <c r="D88" s="1">
        <v>-3447000</v>
      </c>
      <c r="E88" s="1">
        <v>-5063000</v>
      </c>
      <c r="F88" s="1">
        <v>-3912000</v>
      </c>
      <c r="G88" s="1">
        <v>-2485000</v>
      </c>
      <c r="H88" s="1">
        <v>-3000000</v>
      </c>
      <c r="O88" s="46" t="s">
        <v>130</v>
      </c>
      <c r="P88" s="47">
        <f>P85/(P86+P87)</f>
        <v>4.208754208754209E-2</v>
      </c>
    </row>
    <row r="89" spans="1:16" ht="20" customHeight="1">
      <c r="A89" s="14" t="s">
        <v>104</v>
      </c>
      <c r="B89" s="15">
        <f t="shared" ref="B89:G89" si="12">(-1*B88)/B3</f>
        <v>9.5603161822243894E-3</v>
      </c>
      <c r="C89" s="15">
        <f t="shared" si="12"/>
        <v>1.855753900021884E-2</v>
      </c>
      <c r="D89" s="15">
        <f t="shared" si="12"/>
        <v>1.268898189970293E-2</v>
      </c>
      <c r="E89" s="15">
        <f t="shared" si="12"/>
        <v>1.1839951358682942E-2</v>
      </c>
      <c r="F89" s="15">
        <f t="shared" si="12"/>
        <v>6.4290398018698779E-3</v>
      </c>
      <c r="G89" s="15">
        <f t="shared" si="12"/>
        <v>2.8815803815977754E-3</v>
      </c>
      <c r="H89" s="15">
        <f t="shared" ref="H89" si="13">(-1*H88)/H3</f>
        <v>2.8063610851262861E-3</v>
      </c>
      <c r="O89" s="44" t="s">
        <v>105</v>
      </c>
      <c r="P89" s="45">
        <f>H27</f>
        <v>19000000</v>
      </c>
    </row>
    <row r="90" spans="1:16" ht="20">
      <c r="A90" s="5" t="s">
        <v>75</v>
      </c>
      <c r="B90" s="1">
        <v>-4488000</v>
      </c>
      <c r="C90" s="1">
        <v>-3702000</v>
      </c>
      <c r="D90" s="1">
        <v>-1986000</v>
      </c>
      <c r="E90" s="1">
        <v>-24373000</v>
      </c>
      <c r="F90" s="1" t="s">
        <v>91</v>
      </c>
      <c r="G90" s="1">
        <v>-119854000</v>
      </c>
      <c r="H90" s="1">
        <v>0</v>
      </c>
      <c r="O90" s="44" t="s">
        <v>19</v>
      </c>
      <c r="P90" s="45">
        <f>H25</f>
        <v>-217000000</v>
      </c>
    </row>
    <row r="91" spans="1:16" ht="20">
      <c r="A91" s="5" t="s">
        <v>76</v>
      </c>
      <c r="B91" s="1">
        <v>-15000000</v>
      </c>
      <c r="C91" s="1" t="s">
        <v>91</v>
      </c>
      <c r="D91" s="1" t="s">
        <v>91</v>
      </c>
      <c r="E91" s="1" t="s">
        <v>91</v>
      </c>
      <c r="F91" s="1" t="s">
        <v>91</v>
      </c>
      <c r="G91" s="1" t="s">
        <v>91</v>
      </c>
      <c r="H91" s="1" t="s">
        <v>91</v>
      </c>
      <c r="O91" s="46" t="s">
        <v>131</v>
      </c>
      <c r="P91" s="47">
        <f>P89/P90</f>
        <v>-8.755760368663594E-2</v>
      </c>
    </row>
    <row r="92" spans="1:16" ht="20">
      <c r="A92" s="5" t="s">
        <v>77</v>
      </c>
      <c r="B92" s="1" t="s">
        <v>91</v>
      </c>
      <c r="C92" s="1">
        <v>15000000</v>
      </c>
      <c r="D92" s="1" t="s">
        <v>91</v>
      </c>
      <c r="E92" s="1" t="s">
        <v>91</v>
      </c>
      <c r="F92" s="1" t="s">
        <v>91</v>
      </c>
      <c r="G92" s="1" t="s">
        <v>91</v>
      </c>
      <c r="H92" s="1" t="s">
        <v>91</v>
      </c>
      <c r="O92" s="46" t="s">
        <v>132</v>
      </c>
      <c r="P92" s="47">
        <f>P88*(1-P91)</f>
        <v>4.5772626417787711E-2</v>
      </c>
    </row>
    <row r="93" spans="1:16" ht="19">
      <c r="A93" s="5" t="s">
        <v>78</v>
      </c>
      <c r="B93" s="1" t="s">
        <v>91</v>
      </c>
      <c r="C93" s="1" t="s">
        <v>91</v>
      </c>
      <c r="D93" s="1">
        <v>-2850000</v>
      </c>
      <c r="E93" s="1">
        <v>249000</v>
      </c>
      <c r="F93" s="1">
        <v>2394000</v>
      </c>
      <c r="G93" s="1">
        <v>-4932000</v>
      </c>
      <c r="H93" s="1">
        <v>-4932000</v>
      </c>
      <c r="O93" s="68" t="s">
        <v>133</v>
      </c>
      <c r="P93" s="68"/>
    </row>
    <row r="94" spans="1:16" ht="20">
      <c r="A94" s="6" t="s">
        <v>79</v>
      </c>
      <c r="B94" s="10">
        <v>-20331000</v>
      </c>
      <c r="C94" s="10">
        <v>8330000</v>
      </c>
      <c r="D94" s="10">
        <v>-8283000</v>
      </c>
      <c r="E94" s="10">
        <v>-29187000</v>
      </c>
      <c r="F94" s="10">
        <v>-1518000</v>
      </c>
      <c r="G94" s="10">
        <v>-127271000</v>
      </c>
      <c r="H94" s="10">
        <v>-273000000</v>
      </c>
      <c r="O94" s="44" t="s">
        <v>134</v>
      </c>
      <c r="P94" s="48">
        <f>[1]Treasuries!$C$8</f>
        <v>3.9120000000000002E-2</v>
      </c>
    </row>
    <row r="95" spans="1:16" ht="20">
      <c r="A95" s="5" t="s">
        <v>80</v>
      </c>
      <c r="B95" s="1">
        <v>-106000</v>
      </c>
      <c r="C95" s="1">
        <v>-132000</v>
      </c>
      <c r="D95" s="1">
        <v>-106000</v>
      </c>
      <c r="E95" s="1">
        <v>-90000</v>
      </c>
      <c r="F95" s="1" t="s">
        <v>91</v>
      </c>
      <c r="G95" s="1" t="s">
        <v>91</v>
      </c>
      <c r="H95" s="1" t="s">
        <v>91</v>
      </c>
      <c r="O95" s="44" t="s">
        <v>135</v>
      </c>
      <c r="P95" s="49" cm="1">
        <f t="array" ref="P95">_FV(A1,"Beta")</f>
        <v>0.98460000000000003</v>
      </c>
    </row>
    <row r="96" spans="1:16" ht="20">
      <c r="A96" s="5" t="s">
        <v>81</v>
      </c>
      <c r="B96" s="1" t="s">
        <v>91</v>
      </c>
      <c r="C96" s="1" t="s">
        <v>91</v>
      </c>
      <c r="D96" s="1">
        <v>269514000</v>
      </c>
      <c r="E96" s="1" t="s">
        <v>91</v>
      </c>
      <c r="F96" s="1" t="s">
        <v>91</v>
      </c>
      <c r="G96" s="1" t="s">
        <v>91</v>
      </c>
      <c r="H96" s="1" t="s">
        <v>91</v>
      </c>
      <c r="O96" s="44" t="s">
        <v>136</v>
      </c>
      <c r="P96" s="48">
        <v>8.4000000000000005E-2</v>
      </c>
    </row>
    <row r="97" spans="1:17" ht="20">
      <c r="A97" s="5" t="s">
        <v>82</v>
      </c>
      <c r="B97" s="1">
        <v>-25000</v>
      </c>
      <c r="C97" s="1">
        <v>-344000</v>
      </c>
      <c r="D97" s="1" t="s">
        <v>91</v>
      </c>
      <c r="E97" s="1" t="s">
        <v>91</v>
      </c>
      <c r="F97" s="1" t="s">
        <v>91</v>
      </c>
      <c r="G97" s="1" t="s">
        <v>91</v>
      </c>
      <c r="H97" s="1" t="s">
        <v>91</v>
      </c>
      <c r="O97" s="46" t="s">
        <v>137</v>
      </c>
      <c r="P97" s="47">
        <f>(P94)+((P95)*(P96-P94))</f>
        <v>8.3308848000000005E-2</v>
      </c>
    </row>
    <row r="98" spans="1:17" ht="19">
      <c r="A98" s="5" t="s">
        <v>83</v>
      </c>
      <c r="B98" s="1" t="s">
        <v>91</v>
      </c>
      <c r="C98" s="1" t="s">
        <v>91</v>
      </c>
      <c r="D98" s="1" t="s">
        <v>91</v>
      </c>
      <c r="E98" s="1" t="s">
        <v>91</v>
      </c>
      <c r="F98" s="1" t="s">
        <v>91</v>
      </c>
      <c r="G98" s="1">
        <v>0</v>
      </c>
      <c r="H98" s="1">
        <v>0</v>
      </c>
      <c r="O98" s="68" t="s">
        <v>138</v>
      </c>
      <c r="P98" s="68"/>
    </row>
    <row r="99" spans="1:17" ht="20">
      <c r="A99" s="5" t="s">
        <v>84</v>
      </c>
      <c r="B99" s="1">
        <v>59892000</v>
      </c>
      <c r="C99" s="1">
        <v>3903000</v>
      </c>
      <c r="D99" s="1">
        <v>12380000</v>
      </c>
      <c r="E99" s="1">
        <v>58629000</v>
      </c>
      <c r="F99" s="1">
        <v>77258000</v>
      </c>
      <c r="G99" s="1">
        <v>602127000</v>
      </c>
      <c r="H99" s="1">
        <v>17000000</v>
      </c>
      <c r="O99" s="44" t="s">
        <v>139</v>
      </c>
      <c r="P99" s="45">
        <f>P86+P87</f>
        <v>594000000</v>
      </c>
    </row>
    <row r="100" spans="1:17" ht="20">
      <c r="A100" s="6" t="s">
        <v>85</v>
      </c>
      <c r="B100" s="10">
        <v>59761000</v>
      </c>
      <c r="C100" s="10">
        <v>3427000</v>
      </c>
      <c r="D100" s="10">
        <v>281788000</v>
      </c>
      <c r="E100" s="10">
        <v>58539000</v>
      </c>
      <c r="F100" s="10">
        <v>77258000</v>
      </c>
      <c r="G100" s="10">
        <v>602127000</v>
      </c>
      <c r="H100" s="10">
        <v>17000000</v>
      </c>
      <c r="O100" s="46" t="s">
        <v>140</v>
      </c>
      <c r="P100" s="47">
        <f>P99/P103</f>
        <v>8.6611874692156032E-2</v>
      </c>
    </row>
    <row r="101" spans="1:17" ht="20">
      <c r="A101" s="5" t="s">
        <v>86</v>
      </c>
      <c r="B101" s="1">
        <v>-635000</v>
      </c>
      <c r="C101" s="1">
        <v>781000</v>
      </c>
      <c r="D101" s="1">
        <v>-897000</v>
      </c>
      <c r="E101" s="1">
        <v>321000</v>
      </c>
      <c r="F101" s="1">
        <v>6034000</v>
      </c>
      <c r="G101" s="1">
        <v>-20599000</v>
      </c>
      <c r="H101" s="1">
        <v>3000000</v>
      </c>
      <c r="O101" s="44" t="s">
        <v>141</v>
      </c>
      <c r="P101" s="50" cm="1">
        <f t="array" ref="P101">_FV(A1,"Market cap",TRUE)</f>
        <v>6264182000</v>
      </c>
    </row>
    <row r="102" spans="1:17" ht="20">
      <c r="A102" s="6" t="s">
        <v>87</v>
      </c>
      <c r="B102" s="10">
        <v>22688000</v>
      </c>
      <c r="C102" s="10">
        <v>-8281000</v>
      </c>
      <c r="D102" s="10">
        <v>248671000</v>
      </c>
      <c r="E102" s="10">
        <v>-891000</v>
      </c>
      <c r="F102" s="10">
        <v>104319000</v>
      </c>
      <c r="G102" s="10">
        <v>459929000</v>
      </c>
      <c r="H102" s="10">
        <v>-220000000</v>
      </c>
      <c r="O102" s="46" t="s">
        <v>142</v>
      </c>
      <c r="P102" s="47">
        <f>P101/P103</f>
        <v>0.91338812530784397</v>
      </c>
    </row>
    <row r="103" spans="1:17" ht="20">
      <c r="A103" s="5" t="s">
        <v>88</v>
      </c>
      <c r="B103" s="1">
        <v>37202000</v>
      </c>
      <c r="C103" s="1">
        <v>59890000</v>
      </c>
      <c r="D103" s="1">
        <v>51609000</v>
      </c>
      <c r="E103" s="1">
        <v>300280000</v>
      </c>
      <c r="F103" s="1">
        <v>299389000</v>
      </c>
      <c r="G103" s="1">
        <v>403708000</v>
      </c>
      <c r="H103" s="1">
        <v>864000000</v>
      </c>
      <c r="O103" s="46" t="s">
        <v>143</v>
      </c>
      <c r="P103" s="51">
        <f>P99+P101</f>
        <v>6858182000</v>
      </c>
    </row>
    <row r="104" spans="1:17" ht="20" thickBot="1">
      <c r="A104" s="7" t="s">
        <v>89</v>
      </c>
      <c r="B104" s="11">
        <v>59890000</v>
      </c>
      <c r="C104" s="11">
        <v>51609000</v>
      </c>
      <c r="D104" s="11">
        <v>300280000</v>
      </c>
      <c r="E104" s="11">
        <v>299389000</v>
      </c>
      <c r="F104" s="11">
        <v>403708000</v>
      </c>
      <c r="G104" s="11">
        <v>863637000</v>
      </c>
      <c r="H104" s="11">
        <v>915000000</v>
      </c>
      <c r="O104" s="68" t="s">
        <v>144</v>
      </c>
      <c r="P104" s="68"/>
    </row>
    <row r="105" spans="1:17" ht="21" thickTop="1">
      <c r="A105" s="14" t="s">
        <v>158</v>
      </c>
      <c r="B105" s="1">
        <f t="shared" ref="B105:F105" si="14">(B22*(1-0.2))+B77+B88+B81</f>
        <v>-30715600</v>
      </c>
      <c r="C105" s="1">
        <f t="shared" si="14"/>
        <v>-34929200</v>
      </c>
      <c r="D105" s="1">
        <f t="shared" si="14"/>
        <v>-71171800</v>
      </c>
      <c r="E105" s="1">
        <f t="shared" si="14"/>
        <v>-109498000</v>
      </c>
      <c r="F105" s="1">
        <f t="shared" si="14"/>
        <v>-88497400</v>
      </c>
      <c r="G105" s="1">
        <f>(G22*(1-0.2))+G77+G88+G81</f>
        <v>-142350000</v>
      </c>
      <c r="H105" s="1">
        <f>(H22*(1-0.2))+H77+H88+H81</f>
        <v>-168672000</v>
      </c>
      <c r="I105" s="29">
        <f>G105*(1+$P$106)</f>
        <v>-169671158.0651505</v>
      </c>
      <c r="J105" s="29">
        <f t="shared" ref="J105:M105" si="15">I105*(1+$P$106)</f>
        <v>-202236051.1357168</v>
      </c>
      <c r="K105" s="29">
        <f t="shared" si="15"/>
        <v>-241051106.4188273</v>
      </c>
      <c r="L105" s="29">
        <f t="shared" si="15"/>
        <v>-287315914.14800322</v>
      </c>
      <c r="M105" s="29">
        <f t="shared" si="15"/>
        <v>-342460301.25773841</v>
      </c>
      <c r="N105" s="30" t="s">
        <v>165</v>
      </c>
      <c r="O105" s="52" t="s">
        <v>107</v>
      </c>
      <c r="P105" s="53">
        <f>(P100*P92)+(P102*P97)</f>
        <v>8.0057765479904425E-2</v>
      </c>
      <c r="Q105" s="15"/>
    </row>
    <row r="106" spans="1:17" ht="19">
      <c r="A106" s="14" t="s">
        <v>106</v>
      </c>
      <c r="B106" s="1"/>
      <c r="C106" s="15">
        <f>(C107/B107)-1</f>
        <v>0.40336283185840704</v>
      </c>
      <c r="D106" s="15">
        <f>(D107/C107)-1</f>
        <v>0.15121705133055863</v>
      </c>
      <c r="E106" s="15">
        <f>(E107/D107)-1</f>
        <v>0.30101519135261467</v>
      </c>
      <c r="F106" s="15">
        <f>(F107/E107)-1</f>
        <v>-1.5141044713279255</v>
      </c>
      <c r="G106" s="15">
        <f>(G107/F107)-1</f>
        <v>-1.0952718934265124</v>
      </c>
      <c r="H106" s="15">
        <f>(H107/G107)-1</f>
        <v>-19.898567335243552</v>
      </c>
      <c r="I106" s="32">
        <v>163900000</v>
      </c>
      <c r="J106" s="32">
        <v>225300000</v>
      </c>
      <c r="K106" s="32">
        <v>367500000</v>
      </c>
      <c r="L106" s="32">
        <v>494400000</v>
      </c>
      <c r="M106" s="32">
        <v>629800000</v>
      </c>
      <c r="N106" s="30" t="s">
        <v>166</v>
      </c>
      <c r="O106" s="54" t="s">
        <v>145</v>
      </c>
      <c r="P106" s="55">
        <f>(SUM(I4:M4)/5)</f>
        <v>0.19192945602494213</v>
      </c>
    </row>
    <row r="107" spans="1:17" ht="19">
      <c r="A107" s="34" t="s">
        <v>159</v>
      </c>
      <c r="B107" s="1">
        <v>-16950000</v>
      </c>
      <c r="C107" s="1">
        <v>-23787000</v>
      </c>
      <c r="D107" s="1">
        <v>-27384000</v>
      </c>
      <c r="E107" s="1">
        <v>-35627000</v>
      </c>
      <c r="F107" s="1">
        <v>18316000</v>
      </c>
      <c r="G107" s="1">
        <v>-1745000</v>
      </c>
      <c r="H107" s="1">
        <v>32978000</v>
      </c>
      <c r="I107" s="30"/>
      <c r="J107" s="30"/>
      <c r="K107" s="30"/>
      <c r="L107" s="30"/>
      <c r="M107" s="33">
        <f>M106*(1+P107)/(P108-P107)</f>
        <v>11724867407.407188</v>
      </c>
      <c r="N107" s="31" t="s">
        <v>146</v>
      </c>
      <c r="O107" s="56" t="s">
        <v>147</v>
      </c>
      <c r="P107" s="57">
        <v>2.5000000000000001E-2</v>
      </c>
    </row>
    <row r="108" spans="1:17" ht="19">
      <c r="I108" s="33">
        <f t="shared" ref="I108:L108" si="16">I107+I106</f>
        <v>163900000</v>
      </c>
      <c r="J108" s="33">
        <f t="shared" si="16"/>
        <v>225300000</v>
      </c>
      <c r="K108" s="33">
        <f t="shared" si="16"/>
        <v>367500000</v>
      </c>
      <c r="L108" s="33">
        <f t="shared" si="16"/>
        <v>494400000</v>
      </c>
      <c r="M108" s="33">
        <f>M107+M106</f>
        <v>12354667407.407188</v>
      </c>
      <c r="N108" s="31" t="s">
        <v>143</v>
      </c>
      <c r="O108" s="58" t="s">
        <v>148</v>
      </c>
      <c r="P108" s="55">
        <f>P105</f>
        <v>8.0057765479904425E-2</v>
      </c>
    </row>
    <row r="109" spans="1:17" ht="19">
      <c r="I109" s="65" t="s">
        <v>149</v>
      </c>
      <c r="J109" s="65"/>
    </row>
    <row r="110" spans="1:17" ht="20">
      <c r="I110" s="59" t="s">
        <v>150</v>
      </c>
      <c r="J110" s="50">
        <f>NPV(P108,I108,J108,K108,L108,M108)</f>
        <v>9406027208.7369461</v>
      </c>
    </row>
    <row r="111" spans="1:17" ht="20">
      <c r="I111" s="59" t="s">
        <v>151</v>
      </c>
      <c r="J111" s="50">
        <f>H40</f>
        <v>915000000</v>
      </c>
    </row>
    <row r="112" spans="1:17" ht="20">
      <c r="I112" s="59" t="s">
        <v>139</v>
      </c>
      <c r="J112" s="50">
        <f>P99</f>
        <v>594000000</v>
      </c>
    </row>
    <row r="113" spans="9:10" ht="20">
      <c r="I113" s="59" t="s">
        <v>152</v>
      </c>
      <c r="J113" s="50">
        <f>J110+J111-J112</f>
        <v>9727027208.7369461</v>
      </c>
    </row>
    <row r="114" spans="9:10" ht="20">
      <c r="I114" s="59" t="s">
        <v>157</v>
      </c>
      <c r="J114" s="59">
        <f>G34*(1+(5*0.05))</f>
        <v>115683931.25</v>
      </c>
    </row>
    <row r="115" spans="9:10" ht="20">
      <c r="I115" s="60" t="s">
        <v>153</v>
      </c>
      <c r="J115" s="61">
        <f>J113/J114</f>
        <v>84.082785773559593</v>
      </c>
    </row>
    <row r="116" spans="9:10" ht="20">
      <c r="I116" s="59" t="s">
        <v>154</v>
      </c>
      <c r="J116" s="62" cm="1">
        <f t="array" ref="J116">_FV(A1,"Price")</f>
        <v>64.319999999999993</v>
      </c>
    </row>
    <row r="117" spans="9:10" ht="20">
      <c r="I117" s="60" t="s">
        <v>155</v>
      </c>
      <c r="J117" s="63">
        <f>J115/J116-1</f>
        <v>0.30725724150434708</v>
      </c>
    </row>
    <row r="118" spans="9:10" ht="20">
      <c r="I118" s="60" t="s">
        <v>156</v>
      </c>
      <c r="J118" s="64" t="str">
        <f>IF(J115&gt;J116,"BUY","SELL")</f>
        <v>BUY</v>
      </c>
    </row>
  </sheetData>
  <mergeCells count="6">
    <mergeCell ref="I109:J109"/>
    <mergeCell ref="O83:P83"/>
    <mergeCell ref="O84:P84"/>
    <mergeCell ref="O93:P93"/>
    <mergeCell ref="O98:P98"/>
    <mergeCell ref="O104:P104"/>
  </mergeCells>
  <hyperlinks>
    <hyperlink ref="A1" r:id="rId1" tooltip="https://roic.ai/company/ESTC" display="ROIC.AI | EST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07753/000156459019024066/0001564590-19-024066-index.html" xr:uid="{00000000-0004-0000-0000-000007000000}"/>
    <hyperlink ref="D74" r:id="rId7" tooltip="https://www.sec.gov/Archives/edgar/data/1707753/000156459019024066/0001564590-19-024066-index.html" xr:uid="{00000000-0004-0000-0000-000008000000}"/>
    <hyperlink ref="E36" r:id="rId8" tooltip="https://www.sec.gov/Archives/edgar/data/1707753/000162828020009982/0001628280-20-009982-index.htm" xr:uid="{00000000-0004-0000-0000-00000A000000}"/>
    <hyperlink ref="E74" r:id="rId9" tooltip="https://www.sec.gov/Archives/edgar/data/1707753/000162828020009982/0001628280-20-009982-index.htm" xr:uid="{00000000-0004-0000-0000-00000B000000}"/>
    <hyperlink ref="F36" r:id="rId10" tooltip="https://www.sec.gov/Archives/edgar/data/1707753/000170775321000026/0001707753-21-000026-index.htm" xr:uid="{00000000-0004-0000-0000-00000D000000}"/>
    <hyperlink ref="F74" r:id="rId11" tooltip="https://www.sec.gov/Archives/edgar/data/1707753/000170775321000026/0001707753-21-000026-index.htm" xr:uid="{00000000-0004-0000-0000-00000E000000}"/>
    <hyperlink ref="G36" r:id="rId12" tooltip="https://www.sec.gov/Archives/edgar/data/1707753/000170775322000025/0001707753-22-000025-index.htm" xr:uid="{00000000-0004-0000-0000-000010000000}"/>
    <hyperlink ref="G74" r:id="rId13" tooltip="https://www.sec.gov/Archives/edgar/data/1707753/000170775322000025/0001707753-22-000025-index.htm" xr:uid="{00000000-0004-0000-0000-000011000000}"/>
    <hyperlink ref="I1" r:id="rId14" display="https://finbox.com/NYSE:ESTC/explorer/revenue_proj" xr:uid="{059F6893-8E61-ED47-A875-B12979FC0C0A}"/>
    <hyperlink ref="N106" r:id="rId15" xr:uid="{B059B52A-8D77-B94A-8774-A8245E7AAD12}"/>
    <hyperlink ref="H36" r:id="rId16" tooltip="https://www.sec.gov/Archives/edgar/data/1707753/000170775322000025/0001707753-22-000025-index.htm" xr:uid="{61153C97-9048-3346-B93C-729219223FF6}"/>
    <hyperlink ref="H74" r:id="rId17" tooltip="https://www.sec.gov/Archives/edgar/data/1707753/000170775322000025/0001707753-22-000025-index.htm" xr:uid="{B5077449-C3EE-8642-B775-26E1077346D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2023-03-13T20:54:23Z</dcterms:created>
  <dcterms:modified xsi:type="dcterms:W3CDTF">2023-07-29T18:50:40Z</dcterms:modified>
</cp:coreProperties>
</file>