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bina/Documents/financial-modeling/Technology/Software/"/>
    </mc:Choice>
  </mc:AlternateContent>
  <xr:revisionPtr revIDLastSave="0" documentId="13_ncr:1_{A8AFFE18-2DDE-B543-88E6-7CA0F781C655}" xr6:coauthVersionLast="47" xr6:coauthVersionMax="47" xr10:uidLastSave="{00000000-0000-0000-0000-000000000000}"/>
  <bookViews>
    <workbookView xWindow="0" yWindow="500" windowWidth="28800" windowHeight="17500" xr2:uid="{00000000-000D-0000-FFFF-FFFF00000000}"/>
  </bookViews>
  <sheets>
    <sheet name="Sheet 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8" i="1" l="1"/>
  <c r="H108" i="1"/>
  <c r="I108" i="1"/>
  <c r="J108" i="1"/>
  <c r="H105" i="1"/>
  <c r="I105" i="1" s="1"/>
  <c r="J105" i="1" s="1"/>
  <c r="K105" i="1" s="1"/>
  <c r="G105" i="1"/>
  <c r="B105" i="1"/>
  <c r="C105" i="1"/>
  <c r="D105" i="1"/>
  <c r="E105" i="1"/>
  <c r="F105" i="1"/>
  <c r="H30" i="1"/>
  <c r="I30" i="1"/>
  <c r="J30" i="1"/>
  <c r="K30" i="1"/>
  <c r="G30" i="1"/>
  <c r="H21" i="1"/>
  <c r="I21" i="1"/>
  <c r="J21" i="1"/>
  <c r="K21" i="1"/>
  <c r="G21" i="1"/>
  <c r="G29" i="1"/>
  <c r="H29" i="1"/>
  <c r="I29" i="1"/>
  <c r="J29" i="1"/>
  <c r="K29" i="1"/>
  <c r="G20" i="1"/>
  <c r="H20" i="1"/>
  <c r="I20" i="1"/>
  <c r="J20" i="1"/>
  <c r="K20" i="1"/>
  <c r="N95" i="1" l="1"/>
  <c r="H116" i="1" a="1"/>
  <c r="H116" i="1" s="1"/>
  <c r="N19" i="1" s="1"/>
  <c r="H114" i="1"/>
  <c r="N101" i="1" a="1"/>
  <c r="N101" i="1" s="1"/>
  <c r="F89" i="1"/>
  <c r="F106" i="1"/>
  <c r="F80" i="1"/>
  <c r="F35" i="1"/>
  <c r="F29" i="1"/>
  <c r="F20" i="1"/>
  <c r="F13" i="1"/>
  <c r="F9" i="1"/>
  <c r="N86" i="1"/>
  <c r="N87" i="1"/>
  <c r="N99" i="1"/>
  <c r="N85" i="1"/>
  <c r="N88" i="1"/>
  <c r="N89" i="1"/>
  <c r="N90" i="1"/>
  <c r="N91" i="1"/>
  <c r="N92" i="1"/>
  <c r="H111" i="1"/>
  <c r="H112" i="1"/>
  <c r="G4" i="1"/>
  <c r="H4" i="1"/>
  <c r="I4" i="1"/>
  <c r="J4" i="1"/>
  <c r="K4" i="1"/>
  <c r="N106" i="1" s="1"/>
  <c r="L19" i="1"/>
  <c r="L16" i="1"/>
  <c r="O13" i="1"/>
  <c r="N13" i="1"/>
  <c r="M13" i="1"/>
  <c r="L13" i="1"/>
  <c r="O10" i="1"/>
  <c r="N10" i="1"/>
  <c r="M10" i="1"/>
  <c r="L10" i="1"/>
  <c r="O7" i="1"/>
  <c r="N7" i="1"/>
  <c r="M7" i="1"/>
  <c r="L7" i="1"/>
  <c r="O4" i="1"/>
  <c r="N4" i="1"/>
  <c r="M4" i="1"/>
  <c r="L4" i="1"/>
  <c r="E106" i="1"/>
  <c r="D106" i="1"/>
  <c r="C106"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F4" i="1"/>
  <c r="O22" i="1" l="1"/>
  <c r="N22" i="1"/>
  <c r="M19" i="1"/>
  <c r="O19" i="1"/>
  <c r="M16" i="1"/>
  <c r="N16" i="1"/>
  <c r="N103" i="1"/>
  <c r="N100" i="1" s="1"/>
  <c r="O16" i="1"/>
  <c r="N102" i="1" l="1"/>
  <c r="N94" i="1" l="1"/>
  <c r="N97" i="1" s="1"/>
  <c r="N105" i="1" s="1"/>
  <c r="N108" i="1" s="1"/>
  <c r="K107" i="1" l="1"/>
  <c r="K108" i="1" s="1"/>
  <c r="H110" i="1"/>
  <c r="H113" i="1" s="1"/>
  <c r="H115" i="1" s="1"/>
  <c r="H118" i="1" l="1"/>
  <c r="H117"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2"/>
        </ext>
      </extLst>
    </bk>
  </futureMetadata>
  <cellMetadata count="1">
    <bk>
      <rc t="1" v="0"/>
    </bk>
  </cellMetadata>
  <valueMetadata count="1">
    <bk>
      <rc t="2" v="0"/>
    </bk>
  </valueMetadata>
</metadata>
</file>

<file path=xl/sharedStrings.xml><?xml version="1.0" encoding="utf-8"?>
<sst xmlns="http://schemas.openxmlformats.org/spreadsheetml/2006/main" count="341" uniqueCount="167">
  <si>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</si>
  <si>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</si>
  <si>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</si>
  <si>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</si>
  <si>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</si>
  <si>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</si>
  <si>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</si>
  <si>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</si>
  <si>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</si>
  <si>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</si>
  <si>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</si>
  <si>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</si>
  <si>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</si>
  <si>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</si>
  <si>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</si>
  <si>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</si>
  <si>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</si>
  <si>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</si>
  <si>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</si>
  <si>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</si>
  <si>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</si>
  <si>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</si>
  <si>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</si>
  <si>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</si>
  <si>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</si>
  <si>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</si>
  <si>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</si>
  <si>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</si>
  <si>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</si>
  <si>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</si>
  <si>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</si>
  <si>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</si>
  <si>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</si>
  <si>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</si>
  <si>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</si>
  <si>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</si>
  <si>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</si>
  <si>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</si>
  <si>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</si>
  <si>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</si>
  <si>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</si>
  <si>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</si>
  <si>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</si>
  <si>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</si>
  <si>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</si>
  <si>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</si>
  <si>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</si>
  <si>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</si>
  <si>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</si>
  <si>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</si>
  <si>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</si>
  <si>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</si>
  <si>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</si>
  <si>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</si>
  <si>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</si>
  <si>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</si>
  <si>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</si>
  <si>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</si>
  <si>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</si>
  <si>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</si>
  <si>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</si>
  <si>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</si>
  <si>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</si>
  <si>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</si>
  <si>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</si>
  <si>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</si>
  <si>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</si>
  <si>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</si>
  <si>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</si>
  <si>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</si>
  <si>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</si>
  <si>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</si>
  <si>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</si>
  <si>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</si>
  <si>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</si>
  <si>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</si>
  <si>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</si>
  <si>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</si>
  <si>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</si>
  <si>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</si>
  <si>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</si>
  <si>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</si>
  <si>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</si>
  <si>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</si>
  <si>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</si>
  <si>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</si>
  <si>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</si>
  <si>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</si>
  <si>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</si>
  <si>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</si>
  <si>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</si>
  <si>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</si>
  <si>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</si>
  <si>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</si>
  <si>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</si>
  <si>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</si>
  <si>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</si>
  <si>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</si>
  <si>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</si>
  <si>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</si>
  <si>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</si>
  <si>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</si>
  <si>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</si>
  <si>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</si>
  <si>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</si>
  <si>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</si>
  <si>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WACC</t>
  </si>
  <si>
    <t>3yr Rev Growth</t>
  </si>
  <si>
    <t>3yr EBITDA Growth</t>
  </si>
  <si>
    <t>3yr Net Income Growth</t>
  </si>
  <si>
    <t>3yr FCF Growth</t>
  </si>
  <si>
    <t>Gross Profit Margin</t>
  </si>
  <si>
    <t>EBITDA Margin</t>
  </si>
  <si>
    <t>Net Income Margin</t>
  </si>
  <si>
    <t>FCF Margin</t>
  </si>
  <si>
    <t>ROE</t>
  </si>
  <si>
    <t>ROA</t>
  </si>
  <si>
    <t>ROIC</t>
  </si>
  <si>
    <t>Debt to Equity</t>
  </si>
  <si>
    <t>Share Dilution (4yr)</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</si>
  <si>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</si>
  <si>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</si>
  <si>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</si>
  <si>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</si>
  <si>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</si>
  <si>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</si>
  <si>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</si>
  <si>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</si>
  <si>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</si>
  <si>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</si>
  <si>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</si>
  <si>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</si>
  <si>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</si>
  <si>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</si>
  <si>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</si>
  <si>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</si>
  <si>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</si>
  <si>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</si>
  <si>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</si>
  <si>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</si>
  <si>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</si>
  <si>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</si>
  <si>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</si>
  <si>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</si>
  <si>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</si>
  <si>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</si>
  <si>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</si>
  <si>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</si>
  <si>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</si>
  <si>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</si>
  <si>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</si>
  <si>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</si>
  <si>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</si>
  <si>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</si>
  <si>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</si>
  <si>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</si>
  <si>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Shares</t>
  </si>
  <si>
    <t>Forward P/S</t>
  </si>
  <si>
    <t>Forward P/E</t>
  </si>
  <si>
    <t>Forward P/FCF</t>
  </si>
  <si>
    <t>Dividend Yield</t>
  </si>
  <si>
    <t>FCF Yield</t>
  </si>
  <si>
    <t>Unlevered FCF</t>
  </si>
  <si>
    <t>Levered FCF Growth YoY</t>
  </si>
  <si>
    <t>Levered FCF</t>
  </si>
  <si>
    <t>Unlevered FCF Proj</t>
  </si>
  <si>
    <t>Unlevered FCF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</si>
</sst>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 \-"/>
    <numFmt numFmtId="165" formatCode="#.00%;\ \-#.00%;\ \-\ \-"/>
    <numFmt numFmtId="166" formatCode="#,##0.00_);\(#,##0.00\);\-\ \-"/>
    <numFmt numFmtId="167" formatCode="&quot;$&quot;#,##0"/>
    <numFmt numFmtId="168" formatCode="&quot;$&quot;#,##0.00"/>
    <numFmt numFmtId="169" formatCode="0.0"/>
    <numFmt numFmtId="170"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1">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70">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3" fillId="0" borderId="4" xfId="0" applyFont="1" applyBorder="1"/>
    <xf numFmtId="164" fontId="10" fillId="0" borderId="0" xfId="0" applyNumberFormat="1" applyFont="1"/>
    <xf numFmtId="9" fontId="11" fillId="0" borderId="9" xfId="0" applyNumberFormat="1" applyFont="1" applyBorder="1" applyAlignment="1">
      <alignment horizontal="center"/>
    </xf>
    <xf numFmtId="164" fontId="1" fillId="0" borderId="6" xfId="0" applyNumberFormat="1" applyFont="1" applyBorder="1" applyAlignment="1">
      <alignment horizontal="center"/>
    </xf>
    <xf numFmtId="164" fontId="10" fillId="4" borderId="0" xfId="0" applyNumberFormat="1" applyFont="1" applyFill="1"/>
    <xf numFmtId="0" fontId="0" fillId="4" borderId="0" xfId="0" applyFill="1"/>
    <xf numFmtId="0" fontId="0" fillId="4" borderId="0" xfId="0" applyFill="1" applyAlignment="1">
      <alignment horizontal="left"/>
    </xf>
    <xf numFmtId="164" fontId="10" fillId="7" borderId="0" xfId="0" applyNumberFormat="1" applyFont="1" applyFill="1"/>
    <xf numFmtId="164" fontId="1" fillId="7" borderId="0" xfId="0" applyNumberFormat="1" applyFont="1" applyFill="1"/>
    <xf numFmtId="169" fontId="11" fillId="0" borderId="9" xfId="0" applyNumberFormat="1" applyFont="1" applyBorder="1" applyAlignment="1">
      <alignment horizontal="center"/>
    </xf>
    <xf numFmtId="169" fontId="11" fillId="0" borderId="6" xfId="0" applyNumberFormat="1" applyFont="1" applyBorder="1" applyAlignment="1">
      <alignment horizontal="center"/>
    </xf>
    <xf numFmtId="169" fontId="11" fillId="0" borderId="5" xfId="0" applyNumberFormat="1" applyFont="1" applyBorder="1" applyAlignment="1">
      <alignment horizontal="center"/>
    </xf>
    <xf numFmtId="170" fontId="11" fillId="0" borderId="5" xfId="0" applyNumberFormat="1" applyFont="1" applyBorder="1" applyAlignment="1">
      <alignment horizontal="center"/>
    </xf>
    <xf numFmtId="170" fontId="11" fillId="0" borderId="8" xfId="0" applyNumberFormat="1" applyFont="1" applyBorder="1" applyAlignment="1">
      <alignment horizontal="center"/>
    </xf>
    <xf numFmtId="164" fontId="13" fillId="0" borderId="3" xfId="0" applyNumberFormat="1" applyFont="1" applyBorder="1"/>
    <xf numFmtId="165" fontId="10" fillId="0" borderId="0" xfId="0" applyNumberFormat="1" applyFont="1"/>
    <xf numFmtId="166" fontId="10" fillId="0" borderId="0" xfId="0" applyNumberFormat="1" applyFont="1"/>
    <xf numFmtId="164" fontId="13" fillId="0" borderId="2" xfId="0" applyNumberFormat="1" applyFont="1" applyBorder="1"/>
    <xf numFmtId="165" fontId="10" fillId="0" borderId="10" xfId="0" applyNumberFormat="1" applyFont="1" applyBorder="1"/>
    <xf numFmtId="0" fontId="11" fillId="4" borderId="0" xfId="0" applyFont="1" applyFill="1" applyAlignment="1">
      <alignment horizontal="left" vertical="center" wrapText="1"/>
    </xf>
    <xf numFmtId="164" fontId="11" fillId="4" borderId="0" xfId="0" applyNumberFormat="1" applyFont="1" applyFill="1"/>
    <xf numFmtId="0" fontId="12" fillId="4" borderId="0" xfId="0" applyFont="1" applyFill="1" applyAlignment="1">
      <alignment horizontal="left" vertical="center" wrapText="1"/>
    </xf>
    <xf numFmtId="10" fontId="12" fillId="4" borderId="0" xfId="0" applyNumberFormat="1" applyFont="1" applyFill="1"/>
    <xf numFmtId="10" fontId="11" fillId="4" borderId="0" xfId="0" applyNumberFormat="1" applyFont="1" applyFill="1"/>
    <xf numFmtId="0" fontId="11" fillId="7" borderId="0" xfId="0" applyFont="1" applyFill="1" applyAlignment="1">
      <alignment horizontal="left" vertical="center" wrapText="1"/>
    </xf>
    <xf numFmtId="39" fontId="11" fillId="7" borderId="0" xfId="0" applyNumberFormat="1" applyFont="1" applyFill="1"/>
    <xf numFmtId="164" fontId="1" fillId="4" borderId="0" xfId="0" applyNumberFormat="1" applyFont="1" applyFill="1"/>
    <xf numFmtId="164" fontId="12" fillId="4" borderId="0" xfId="0" applyNumberFormat="1" applyFont="1" applyFill="1"/>
    <xf numFmtId="0" fontId="12" fillId="5" borderId="0" xfId="0" applyFont="1" applyFill="1" applyAlignment="1">
      <alignment horizontal="left" vertical="center" wrapText="1"/>
    </xf>
    <xf numFmtId="10" fontId="12" fillId="5" borderId="0" xfId="0" applyNumberFormat="1" applyFont="1" applyFill="1"/>
    <xf numFmtId="9" fontId="16" fillId="4" borderId="0" xfId="0" applyNumberFormat="1" applyFont="1" applyFill="1" applyAlignment="1">
      <alignment wrapText="1"/>
    </xf>
    <xf numFmtId="10" fontId="1" fillId="4" borderId="0" xfId="0" applyNumberFormat="1" applyFont="1" applyFill="1" applyAlignment="1">
      <alignment horizontal="right" vertical="center"/>
    </xf>
    <xf numFmtId="0" fontId="16" fillId="7" borderId="0" xfId="0" applyFont="1" applyFill="1" applyAlignment="1">
      <alignment wrapText="1"/>
    </xf>
    <xf numFmtId="10" fontId="1" fillId="7" borderId="0" xfId="0" applyNumberFormat="1" applyFont="1" applyFill="1" applyAlignment="1">
      <alignment horizontal="right" vertical="center"/>
    </xf>
    <xf numFmtId="0" fontId="16" fillId="4" borderId="0" xfId="0" applyFont="1" applyFill="1"/>
    <xf numFmtId="164" fontId="1" fillId="4" borderId="0" xfId="0" applyNumberFormat="1" applyFont="1" applyFill="1" applyAlignment="1">
      <alignment wrapText="1"/>
    </xf>
    <xf numFmtId="164" fontId="1" fillId="5" borderId="0" xfId="0" applyNumberFormat="1" applyFont="1" applyFill="1" applyAlignment="1">
      <alignment wrapText="1"/>
    </xf>
    <xf numFmtId="167" fontId="12" fillId="5" borderId="0" xfId="0" applyNumberFormat="1" applyFont="1" applyFill="1"/>
    <xf numFmtId="168" fontId="1" fillId="4" borderId="0" xfId="0" applyNumberFormat="1" applyFont="1" applyFill="1"/>
    <xf numFmtId="9" fontId="12" fillId="5" borderId="0" xfId="1" applyFont="1" applyFill="1" applyBorder="1"/>
    <xf numFmtId="0" fontId="12" fillId="5" borderId="0" xfId="0" applyFont="1" applyFill="1" applyAlignment="1">
      <alignment horizontal="right"/>
    </xf>
    <xf numFmtId="0" fontId="1" fillId="0" borderId="0" xfId="0" applyFont="1" applyAlignment="1">
      <alignment indent="1"/>
    </xf>
    <xf numFmtId="0" fontId="1" fillId="5" borderId="0" xfId="0" applyFont="1" applyFill="1" applyAlignment="1">
      <alignment horizontal="center"/>
    </xf>
    <xf numFmtId="0" fontId="14" fillId="5" borderId="0" xfId="0" applyFont="1" applyFill="1" applyAlignment="1">
      <alignment horizontal="center"/>
    </xf>
    <xf numFmtId="0" fontId="15" fillId="5" borderId="0" xfId="0" applyFont="1" applyFill="1" applyAlignment="1">
      <alignment horizontal="center"/>
    </xf>
    <xf numFmtId="0" fontId="12" fillId="6"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Global-E</a:t>
            </a:r>
            <a:endParaRPr lang="en-US"/>
          </a:p>
        </c:rich>
      </c:tx>
      <c:layout>
        <c:manualLayout>
          <c:xMode val="edge"/>
          <c:yMode val="edge"/>
          <c:x val="0.44708457711442784"/>
          <c:y val="2.91014947856766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7.9582037319961871E-2"/>
          <c:y val="0.14413970367345652"/>
          <c:w val="0.86469656964521213"/>
          <c:h val="0.71364060387205686"/>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'Sheet 1'!$B$1:$F$1</c:f>
              <c:numCache>
                <c:formatCode>General</c:formatCode>
                <c:ptCount val="5"/>
                <c:pt idx="0">
                  <c:v>2018</c:v>
                </c:pt>
                <c:pt idx="1">
                  <c:v>2019</c:v>
                </c:pt>
                <c:pt idx="2">
                  <c:v>2020</c:v>
                </c:pt>
                <c:pt idx="3">
                  <c:v>2021</c:v>
                </c:pt>
                <c:pt idx="4">
                  <c:v>2022</c:v>
                </c:pt>
              </c:numCache>
            </c:numRef>
          </c:cat>
          <c:val>
            <c:numRef>
              <c:f>'Sheet 1'!$B$3:$F$3</c:f>
              <c:numCache>
                <c:formatCode>#,###,,;\(#,###,,\);\ \-\ \-</c:formatCode>
                <c:ptCount val="5"/>
                <c:pt idx="0">
                  <c:v>38640000</c:v>
                </c:pt>
                <c:pt idx="1">
                  <c:v>65852000</c:v>
                </c:pt>
                <c:pt idx="2">
                  <c:v>136375000</c:v>
                </c:pt>
                <c:pt idx="3">
                  <c:v>245274000</c:v>
                </c:pt>
                <c:pt idx="4">
                  <c:v>409049000</c:v>
                </c:pt>
              </c:numCache>
            </c:numRef>
          </c:val>
          <c:extLst>
            <c:ext xmlns:c16="http://schemas.microsoft.com/office/drawing/2014/chart" uri="{C3380CC4-5D6E-409C-BE32-E72D297353CC}">
              <c16:uniqueId val="{00000000-8619-3E46-8E4E-C9F5EBD800A9}"/>
            </c:ext>
          </c:extLst>
        </c:ser>
        <c:ser>
          <c:idx val="1"/>
          <c:order val="1"/>
          <c:tx>
            <c:strRef>
              <c:f>'Sheet 1'!$A$28</c:f>
              <c:strCache>
                <c:ptCount val="1"/>
                <c:pt idx="0">
                  <c:v>Net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'Sheet 1'!$B$1:$F$1</c:f>
              <c:numCache>
                <c:formatCode>General</c:formatCode>
                <c:ptCount val="5"/>
                <c:pt idx="0">
                  <c:v>2018</c:v>
                </c:pt>
                <c:pt idx="1">
                  <c:v>2019</c:v>
                </c:pt>
                <c:pt idx="2">
                  <c:v>2020</c:v>
                </c:pt>
                <c:pt idx="3">
                  <c:v>2021</c:v>
                </c:pt>
                <c:pt idx="4">
                  <c:v>2022</c:v>
                </c:pt>
              </c:numCache>
            </c:numRef>
          </c:cat>
          <c:val>
            <c:numRef>
              <c:f>'Sheet 1'!$B$28:$F$28</c:f>
              <c:numCache>
                <c:formatCode>#,###,,;\(#,###,,\);\ \-\ \-</c:formatCode>
                <c:ptCount val="5"/>
                <c:pt idx="0">
                  <c:v>-11593000</c:v>
                </c:pt>
                <c:pt idx="1">
                  <c:v>-7544000</c:v>
                </c:pt>
                <c:pt idx="2">
                  <c:v>3914000</c:v>
                </c:pt>
                <c:pt idx="3">
                  <c:v>-74933000</c:v>
                </c:pt>
                <c:pt idx="4">
                  <c:v>-195405000</c:v>
                </c:pt>
              </c:numCache>
            </c:numRef>
          </c:val>
          <c:extLst>
            <c:ext xmlns:c16="http://schemas.microsoft.com/office/drawing/2014/chart" uri="{C3380CC4-5D6E-409C-BE32-E72D297353CC}">
              <c16:uniqueId val="{00000001-8619-3E46-8E4E-C9F5EBD800A9}"/>
            </c:ext>
          </c:extLst>
        </c:ser>
        <c:ser>
          <c:idx val="2"/>
          <c:order val="2"/>
          <c:tx>
            <c:strRef>
              <c:f>'Sheet 1'!$A$107</c:f>
              <c:strCache>
                <c:ptCount val="1"/>
                <c:pt idx="0">
                  <c:v>Levered FCF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'Sheet 1'!$B$1:$F$1</c:f>
              <c:numCache>
                <c:formatCode>General</c:formatCode>
                <c:ptCount val="5"/>
                <c:pt idx="0">
                  <c:v>2018</c:v>
                </c:pt>
                <c:pt idx="1">
                  <c:v>2019</c:v>
                </c:pt>
                <c:pt idx="2">
                  <c:v>2020</c:v>
                </c:pt>
                <c:pt idx="3">
                  <c:v>2021</c:v>
                </c:pt>
                <c:pt idx="4">
                  <c:v>2022</c:v>
                </c:pt>
              </c:numCache>
            </c:numRef>
          </c:cat>
          <c:val>
            <c:numRef>
              <c:f>'Sheet 1'!$B$107:$F$107</c:f>
              <c:numCache>
                <c:formatCode>#,###,,;\(#,###,,\);\ \-\ \-</c:formatCode>
                <c:ptCount val="5"/>
                <c:pt idx="0">
                  <c:v>-8095000</c:v>
                </c:pt>
                <c:pt idx="1">
                  <c:v>6764000</c:v>
                </c:pt>
                <c:pt idx="2">
                  <c:v>28894000</c:v>
                </c:pt>
                <c:pt idx="3">
                  <c:v>12865000</c:v>
                </c:pt>
                <c:pt idx="4">
                  <c:v>73133000</c:v>
                </c:pt>
              </c:numCache>
            </c:numRef>
          </c:val>
          <c:extLst>
            <c:ext xmlns:c16="http://schemas.microsoft.com/office/drawing/2014/chart" uri="{C3380CC4-5D6E-409C-BE32-E72D297353CC}">
              <c16:uniqueId val="{00000002-8619-3E46-8E4E-C9F5EBD800A9}"/>
            </c:ext>
          </c:extLst>
        </c:ser>
        <c:dLbls>
          <c:showLegendKey val="0"/>
          <c:showVal val="0"/>
          <c:showCatName val="0"/>
          <c:showSerName val="0"/>
          <c:showPercent val="0"/>
          <c:showBubbleSize val="0"/>
        </c:dLbls>
        <c:gapWidth val="100"/>
        <c:overlap val="-24"/>
        <c:axId val="1438885488"/>
        <c:axId val="1438887216"/>
      </c:barChart>
      <c:catAx>
        <c:axId val="14388854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438887216"/>
        <c:crosses val="autoZero"/>
        <c:auto val="1"/>
        <c:lblAlgn val="ctr"/>
        <c:lblOffset val="100"/>
        <c:noMultiLvlLbl val="0"/>
      </c:catAx>
      <c:valAx>
        <c:axId val="1438887216"/>
        <c:scaling>
          <c:orientation val="minMax"/>
          <c:min val="-200000000"/>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438885488"/>
        <c:crosses val="autoZero"/>
        <c:crossBetween val="between"/>
      </c:valAx>
      <c:spPr>
        <a:noFill/>
        <a:ln>
          <a:noFill/>
        </a:ln>
        <a:effectLst/>
      </c:spPr>
    </c:plotArea>
    <c:legend>
      <c:legendPos val="b"/>
      <c:layout>
        <c:manualLayout>
          <c:xMode val="edge"/>
          <c:yMode val="edge"/>
          <c:x val="0.33728261579242891"/>
          <c:y val="0.89960419675635206"/>
          <c:w val="0.31482106527728809"/>
          <c:h val="5.965371054370070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31749</xdr:colOff>
      <xdr:row>108</xdr:row>
      <xdr:rowOff>33337</xdr:rowOff>
    </xdr:from>
    <xdr:to>
      <xdr:col>13</xdr:col>
      <xdr:colOff>1587499</xdr:colOff>
      <xdr:row>127</xdr:row>
      <xdr:rowOff>15874</xdr:rowOff>
    </xdr:to>
    <xdr:graphicFrame macro="">
      <xdr:nvGraphicFramePr>
        <xdr:cNvPr id="3" name="Chart 2">
          <a:extLst>
            <a:ext uri="{FF2B5EF4-FFF2-40B4-BE49-F238E27FC236}">
              <a16:creationId xmlns:a16="http://schemas.microsoft.com/office/drawing/2014/main" id="{6104C461-F42C-0206-5A6E-E6D66EA12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bina/Documents/financial-modeling/Dashboard.xlsx" TargetMode="External"/><Relationship Id="rId1" Type="http://schemas.openxmlformats.org/officeDocument/2006/relationships/externalLinkPath" Target="/Users/bina/Documents/financial-model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easuries"/>
      <sheetName val="Hardware"/>
      <sheetName val="Software"/>
      <sheetName val="Consumer"/>
      <sheetName val="Financial Services"/>
      <sheetName val="Healthcare"/>
      <sheetName val="Industrials"/>
      <sheetName val="Real Estate"/>
      <sheetName val="Fashion + Beauty"/>
      <sheetName val="My Stocks"/>
      <sheetName val="Profitable Software"/>
      <sheetName val="Compounders"/>
      <sheetName val="GARP"/>
      <sheetName val="Value"/>
      <sheetName val="Aggressive Growth"/>
      <sheetName val="Other"/>
      <sheetName val="Short List"/>
    </sheetNames>
    <sheetDataSet>
      <sheetData sheetId="0">
        <row r="8">
          <cell r="C8">
            <v>3.9120000000000002E-2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https://www.bing.com/financeapi/forcetrigger?t=c11cur&amp;q=XNAS%3aGLBE&amp;form=skydnc</v>
    <v>Learn more on Bing</v>
  </rv>
  <rv s="1">
    <v>0</v>
    <v>GLOBAL-E ONLINE LTD (XNAS:GLBE)</v>
    <v>2</v>
    <v>3</v>
    <v>Finance</v>
    <v>4</v>
    <v>en-US</v>
    <v>c11cur</v>
    <v>268435456</v>
    <v>1</v>
    <v>Powered by Refinitiv</v>
    <v>44.189900000000002</v>
    <v>18.14</v>
    <v>-0.48</v>
    <v>-1.1235999999999999E-2</v>
    <v>0.04</v>
    <v>9.4700000000000003E-4</v>
    <v>USD</v>
    <v>Global-E Online Ltd is an Israel-based company operates as a software publisher. It develops e-commerce platform Global-e which enable direct-to-consumer cross-border e-commerce. Through its end-to-end solutions that combine localization capabilities, big-data business intelligence models, international logistics and cross-border experience, it enables retailers and brands to increase international traffic conversion and sales and achieve global online growth. The Company operates from seven offices worldwide and is the chosen partner of retailers and brands across the United States, Europe and Asia.</v>
    <v>767</v>
    <v>Nasdaq Stock Market</v>
    <v>XNAS</v>
    <v>XNAS</v>
    <v>25 Basel Street, PETAH TIKVA, 4951038 IL</v>
    <v>44.189900000000002</v>
    <v>Software &amp; IT Services</v>
    <v>Stock</v>
    <v>45114.98016810156</v>
    <v>0</v>
    <v>41.78</v>
    <v>6938070000</v>
    <v>GLOBAL-E ONLINE LTD</v>
    <v>GLOBAL-E ONLINE LTD</v>
    <v>42.78</v>
    <v>8554.902</v>
    <v>42.72</v>
    <v>42.24</v>
    <v>42.28</v>
    <v>164253600</v>
    <v>GLBE</v>
    <v>GLOBAL-E ONLINE LTD (XNAS:GLBE)</v>
    <v>1078085</v>
    <v>1601856</v>
    <v>2013</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1</v>
      <v>3</v>
      <v>1</v>
      <v>1</v>
      <v>1</v>
      <v>4</v>
      <v>4</v>
      <v>5</v>
      <v>6</v>
      <v>1</v>
      <v>1</v>
      <v>1</v>
      <v>4</v>
      <v>7</v>
      <v>8</v>
      <v>9</v>
      <v>4</v>
      <v>1</v>
      <v>1</v>
      <v>5</v>
    </spb>
    <spb s="4">
      <v>at close</v>
      <v>from previous close</v>
      <v>from previous close</v>
      <v>Source: Nasdaq</v>
      <v>GMT</v>
      <v>Delayed 15 minutes</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c.gov/" TargetMode="External"/><Relationship Id="rId13" Type="http://schemas.openxmlformats.org/officeDocument/2006/relationships/hyperlink" Target="https://finbox.com/NASDAQGS:GLBE/explorer/fcf_unlev_proj/"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hyperlink" Target="https://finbox.com/NASDAQGS:GLBE/explorer/revenue_proj" TargetMode="External"/><Relationship Id="rId2" Type="http://schemas.openxmlformats.org/officeDocument/2006/relationships/hyperlink" Target="https://sec.gov/" TargetMode="External"/><Relationship Id="rId1" Type="http://schemas.openxmlformats.org/officeDocument/2006/relationships/hyperlink" Target="https://roic.ai/company/GLBE" TargetMode="External"/><Relationship Id="rId6" Type="http://schemas.openxmlformats.org/officeDocument/2006/relationships/hyperlink" Target="https://sec.gov/" TargetMode="External"/><Relationship Id="rId11" Type="http://schemas.openxmlformats.org/officeDocument/2006/relationships/hyperlink" Target="https://sec.gov/" TargetMode="External"/><Relationship Id="rId5" Type="http://schemas.openxmlformats.org/officeDocument/2006/relationships/hyperlink" Target="https://sec.gov/" TargetMode="External"/><Relationship Id="rId10" Type="http://schemas.openxmlformats.org/officeDocument/2006/relationships/hyperlink" Target="https://sec.gov/"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B2" activePane="bottomRight" state="frozen"/>
      <selection pane="topRight"/>
      <selection pane="bottomLeft"/>
      <selection pane="bottomRight" activeCell="J25" sqref="J25"/>
    </sheetView>
  </sheetViews>
  <sheetFormatPr baseColWidth="10" defaultRowHeight="16" x14ac:dyDescent="0.2"/>
  <cols>
    <col min="1" max="1" width="50" customWidth="1"/>
    <col min="2" max="6" width="15" customWidth="1"/>
    <col min="7" max="15" width="21" customWidth="1"/>
  </cols>
  <sheetData>
    <row r="1" spans="1:38" ht="22" thickBot="1" x14ac:dyDescent="0.3">
      <c r="A1" s="3" t="e" vm="1">
        <v>#VALUE!</v>
      </c>
      <c r="B1" s="8">
        <v>2018</v>
      </c>
      <c r="C1" s="8">
        <v>2019</v>
      </c>
      <c r="D1" s="8">
        <v>2020</v>
      </c>
      <c r="E1" s="8">
        <v>2021</v>
      </c>
      <c r="F1" s="8">
        <v>2022</v>
      </c>
      <c r="G1" s="24">
        <v>2023</v>
      </c>
      <c r="H1" s="24">
        <v>2024</v>
      </c>
      <c r="I1" s="24">
        <v>2025</v>
      </c>
      <c r="J1" s="24">
        <v>2026</v>
      </c>
      <c r="K1" s="24">
        <v>2027</v>
      </c>
    </row>
    <row r="2" spans="1:38" ht="21" x14ac:dyDescent="0.25">
      <c r="A2" s="4" t="s">
        <v>0</v>
      </c>
      <c r="B2" s="9" t="s">
        <v>90</v>
      </c>
      <c r="C2" s="9" t="s">
        <v>90</v>
      </c>
      <c r="D2" s="9" t="s">
        <v>90</v>
      </c>
      <c r="E2" s="9" t="s">
        <v>90</v>
      </c>
      <c r="F2" s="9" t="s">
        <v>90</v>
      </c>
      <c r="G2" s="9" t="s">
        <v>90</v>
      </c>
      <c r="H2" s="9" t="s">
        <v>90</v>
      </c>
      <c r="I2" s="9" t="s">
        <v>90</v>
      </c>
      <c r="J2" s="9"/>
      <c r="K2" s="9"/>
      <c r="L2" s="9"/>
      <c r="M2" s="9"/>
      <c r="N2" s="9"/>
      <c r="O2" s="9"/>
    </row>
    <row r="3" spans="1:38" ht="40" x14ac:dyDescent="0.25">
      <c r="A3" s="5" t="s">
        <v>1</v>
      </c>
      <c r="B3" s="1">
        <v>38640000</v>
      </c>
      <c r="C3" s="1">
        <v>65852000</v>
      </c>
      <c r="D3" s="1">
        <v>136375000</v>
      </c>
      <c r="E3" s="1">
        <v>245274000</v>
      </c>
      <c r="F3" s="1">
        <v>409049000</v>
      </c>
      <c r="G3" s="25">
        <v>578000000</v>
      </c>
      <c r="H3" s="25">
        <v>786000000</v>
      </c>
      <c r="I3" s="25">
        <v>1096000000</v>
      </c>
      <c r="J3" s="25">
        <v>1389000000</v>
      </c>
      <c r="K3" s="25">
        <v>1764000000</v>
      </c>
      <c r="L3" s="19" t="s">
        <v>107</v>
      </c>
      <c r="M3" s="20" t="s">
        <v>108</v>
      </c>
      <c r="N3" s="20" t="s">
        <v>109</v>
      </c>
      <c r="O3" s="20" t="s">
        <v>110</v>
      </c>
    </row>
    <row r="4" spans="1:38" ht="19" x14ac:dyDescent="0.25">
      <c r="A4" s="14" t="s">
        <v>93</v>
      </c>
      <c r="B4" s="1"/>
      <c r="C4" s="15">
        <f>(C3/B3)-1</f>
        <v>0.70424430641821956</v>
      </c>
      <c r="D4" s="15">
        <f>(D3/C3)-1</f>
        <v>1.0709317864301768</v>
      </c>
      <c r="E4" s="15">
        <f>(E3/D3)-1</f>
        <v>0.79852612282309798</v>
      </c>
      <c r="F4" s="16">
        <f t="shared" ref="F4:K4" si="0">(F3/E3)-1</f>
        <v>0.66772262857049669</v>
      </c>
      <c r="G4" s="16">
        <f t="shared" si="0"/>
        <v>0.41303364633576911</v>
      </c>
      <c r="H4" s="16">
        <f t="shared" si="0"/>
        <v>0.35986159169550169</v>
      </c>
      <c r="I4" s="16">
        <f t="shared" si="0"/>
        <v>0.3944020356234097</v>
      </c>
      <c r="J4" s="16">
        <f t="shared" si="0"/>
        <v>0.26733576642335777</v>
      </c>
      <c r="K4" s="16">
        <f t="shared" si="0"/>
        <v>0.26997840172786169</v>
      </c>
      <c r="L4" s="17">
        <f>(F4+E4+D4)/3</f>
        <v>0.84572684594125713</v>
      </c>
      <c r="M4" s="17">
        <f>(F20+E20+D20)/3</f>
        <v>-5.3099078164684839</v>
      </c>
      <c r="N4" s="17">
        <f>(F29+E29+D29)/3</f>
        <v>-6.6853193075085677</v>
      </c>
      <c r="O4" s="17">
        <f>(F106+E106+D106)/3</f>
        <v>2.4672097071495824</v>
      </c>
      <c r="T4" s="16"/>
      <c r="U4" s="16"/>
      <c r="V4" s="16"/>
      <c r="W4" s="16"/>
      <c r="X4" s="16"/>
      <c r="Y4" s="16"/>
      <c r="Z4" s="16"/>
      <c r="AA4" s="16"/>
      <c r="AB4" s="16"/>
      <c r="AC4" s="16"/>
      <c r="AD4" s="16"/>
      <c r="AE4" s="16"/>
      <c r="AF4" s="16"/>
      <c r="AI4" s="18"/>
      <c r="AJ4" s="18"/>
      <c r="AK4" s="18"/>
      <c r="AL4" s="18"/>
    </row>
    <row r="5" spans="1:38" ht="19" x14ac:dyDescent="0.25">
      <c r="A5" s="5" t="s">
        <v>2</v>
      </c>
      <c r="B5" s="1">
        <v>30050000</v>
      </c>
      <c r="C5" s="1">
        <v>47188000</v>
      </c>
      <c r="D5" s="1">
        <v>92902000</v>
      </c>
      <c r="E5" s="1">
        <v>153841000</v>
      </c>
      <c r="F5" s="1">
        <v>250871000</v>
      </c>
    </row>
    <row r="6" spans="1:38" ht="20" x14ac:dyDescent="0.25">
      <c r="A6" s="6" t="s">
        <v>3</v>
      </c>
      <c r="B6" s="10">
        <v>8590000</v>
      </c>
      <c r="C6" s="10">
        <v>18664000</v>
      </c>
      <c r="D6" s="10">
        <v>43473000</v>
      </c>
      <c r="E6" s="10">
        <v>91433000</v>
      </c>
      <c r="F6" s="10">
        <v>158178000</v>
      </c>
      <c r="L6" s="19" t="s">
        <v>111</v>
      </c>
      <c r="M6" s="20" t="s">
        <v>112</v>
      </c>
      <c r="N6" s="20" t="s">
        <v>113</v>
      </c>
      <c r="O6" s="20" t="s">
        <v>114</v>
      </c>
    </row>
    <row r="7" spans="1:38" ht="19" x14ac:dyDescent="0.25">
      <c r="A7" s="5" t="s">
        <v>4</v>
      </c>
      <c r="B7" s="2">
        <v>0.2223</v>
      </c>
      <c r="C7" s="2">
        <v>0.28339999999999999</v>
      </c>
      <c r="D7" s="2">
        <v>0.31879999999999997</v>
      </c>
      <c r="E7" s="2">
        <v>0.37280000000000002</v>
      </c>
      <c r="F7" s="2">
        <v>0.38669999999999999</v>
      </c>
      <c r="L7" s="17">
        <f>F7</f>
        <v>0.38669999999999999</v>
      </c>
      <c r="M7" s="21">
        <f>F21</f>
        <v>-0.45</v>
      </c>
      <c r="N7" s="21">
        <f>F30</f>
        <v>-0.47770000000000001</v>
      </c>
      <c r="O7" s="21">
        <f>F107/F3</f>
        <v>0.17878787137971244</v>
      </c>
    </row>
    <row r="8" spans="1:38" ht="19" x14ac:dyDescent="0.25">
      <c r="A8" s="5" t="s">
        <v>5</v>
      </c>
      <c r="B8" s="1">
        <v>9541000</v>
      </c>
      <c r="C8" s="1">
        <v>12034000</v>
      </c>
      <c r="D8" s="1">
        <v>15400000</v>
      </c>
      <c r="E8" s="1">
        <v>29761000</v>
      </c>
      <c r="F8" s="1">
        <v>81206000</v>
      </c>
    </row>
    <row r="9" spans="1:38" ht="19" customHeight="1" x14ac:dyDescent="0.25">
      <c r="A9" s="14" t="s">
        <v>94</v>
      </c>
      <c r="B9" s="15">
        <f>B8/B3</f>
        <v>0.24692028985507247</v>
      </c>
      <c r="C9" s="15">
        <f t="shared" ref="C9:F9" si="1">C8/C3</f>
        <v>0.18274312093786066</v>
      </c>
      <c r="D9" s="15">
        <f t="shared" si="1"/>
        <v>0.11292392300641613</v>
      </c>
      <c r="E9" s="15">
        <f t="shared" si="1"/>
        <v>0.12133776918874402</v>
      </c>
      <c r="F9" s="15">
        <f t="shared" si="1"/>
        <v>0.19852389322550598</v>
      </c>
      <c r="G9" s="15"/>
      <c r="H9" s="15"/>
      <c r="L9" s="19" t="s">
        <v>95</v>
      </c>
      <c r="M9" s="20" t="s">
        <v>96</v>
      </c>
      <c r="N9" s="20" t="s">
        <v>97</v>
      </c>
      <c r="O9" s="20" t="s">
        <v>98</v>
      </c>
    </row>
    <row r="10" spans="1:38" ht="19" x14ac:dyDescent="0.25">
      <c r="A10" s="5" t="s">
        <v>6</v>
      </c>
      <c r="B10" s="1">
        <v>5760000</v>
      </c>
      <c r="C10" s="1">
        <v>6988000</v>
      </c>
      <c r="D10" s="1">
        <v>9822000</v>
      </c>
      <c r="E10" s="1">
        <v>22643000</v>
      </c>
      <c r="F10" s="1">
        <v>60196000</v>
      </c>
      <c r="L10" s="17">
        <f>F9</f>
        <v>0.19852389322550598</v>
      </c>
      <c r="M10" s="21">
        <f>F13</f>
        <v>0.65101247038863319</v>
      </c>
      <c r="N10" s="21">
        <f>F80</f>
        <v>9.5120633469339855E-2</v>
      </c>
      <c r="O10" s="21">
        <f>F89</f>
        <v>2.0418091720062877E-2</v>
      </c>
    </row>
    <row r="11" spans="1:38" ht="19" x14ac:dyDescent="0.25">
      <c r="A11" s="5" t="s">
        <v>7</v>
      </c>
      <c r="B11" s="1">
        <v>3667000</v>
      </c>
      <c r="C11" s="1">
        <v>4593000</v>
      </c>
      <c r="D11" s="1">
        <v>9838000</v>
      </c>
      <c r="E11" s="1">
        <v>104687000</v>
      </c>
      <c r="F11" s="1">
        <v>206100000</v>
      </c>
    </row>
    <row r="12" spans="1:38" ht="20" x14ac:dyDescent="0.25">
      <c r="A12" s="5" t="s">
        <v>8</v>
      </c>
      <c r="B12" s="1">
        <v>9427000</v>
      </c>
      <c r="C12" s="1">
        <v>11581000</v>
      </c>
      <c r="D12" s="1">
        <v>19660000</v>
      </c>
      <c r="E12" s="1">
        <v>127330000</v>
      </c>
      <c r="F12" s="1">
        <v>266296000</v>
      </c>
      <c r="L12" s="19" t="s">
        <v>115</v>
      </c>
      <c r="M12" s="20" t="s">
        <v>116</v>
      </c>
      <c r="N12" s="20" t="s">
        <v>117</v>
      </c>
      <c r="O12" s="20" t="s">
        <v>118</v>
      </c>
    </row>
    <row r="13" spans="1:38" ht="19" x14ac:dyDescent="0.25">
      <c r="A13" s="14" t="s">
        <v>99</v>
      </c>
      <c r="B13" s="15">
        <f>B12/B3</f>
        <v>0.24396997929606626</v>
      </c>
      <c r="C13" s="15">
        <f t="shared" ref="C13:F13" si="2">C12/C3</f>
        <v>0.17586405879851788</v>
      </c>
      <c r="D13" s="15">
        <f t="shared" si="2"/>
        <v>0.14416131989000916</v>
      </c>
      <c r="E13" s="15">
        <f t="shared" si="2"/>
        <v>0.51913370353156063</v>
      </c>
      <c r="F13" s="15">
        <f t="shared" si="2"/>
        <v>0.65101247038863319</v>
      </c>
      <c r="G13" s="15"/>
      <c r="H13" s="15"/>
      <c r="L13" s="17">
        <f>F28/F72</f>
        <v>-0.2105382811077435</v>
      </c>
      <c r="M13" s="21">
        <f>F28/F54</f>
        <v>-0.16807586444176845</v>
      </c>
      <c r="N13" s="21">
        <f>F22/(F72+F56+F61)</f>
        <v>-0.19972044791628207</v>
      </c>
      <c r="O13" s="22">
        <f>F67/F72</f>
        <v>0.25263839520924536</v>
      </c>
    </row>
    <row r="14" spans="1:38" ht="19" x14ac:dyDescent="0.25">
      <c r="A14" s="5" t="s">
        <v>9</v>
      </c>
      <c r="B14" s="1" t="s">
        <v>91</v>
      </c>
      <c r="C14" s="1" t="s">
        <v>91</v>
      </c>
      <c r="D14" s="1" t="s">
        <v>91</v>
      </c>
      <c r="E14" s="1" t="s">
        <v>91</v>
      </c>
      <c r="F14" s="1" t="s">
        <v>91</v>
      </c>
    </row>
    <row r="15" spans="1:38" ht="20" x14ac:dyDescent="0.25">
      <c r="A15" s="5" t="s">
        <v>10</v>
      </c>
      <c r="B15" s="1">
        <v>18968000</v>
      </c>
      <c r="C15" s="1">
        <v>23615000</v>
      </c>
      <c r="D15" s="1">
        <v>35060000</v>
      </c>
      <c r="E15" s="1">
        <v>157091000</v>
      </c>
      <c r="F15" s="1">
        <v>347502000</v>
      </c>
      <c r="L15" s="19" t="s">
        <v>119</v>
      </c>
      <c r="M15" s="20" t="s">
        <v>120</v>
      </c>
      <c r="N15" s="20" t="s">
        <v>121</v>
      </c>
      <c r="O15" s="20" t="s">
        <v>122</v>
      </c>
    </row>
    <row r="16" spans="1:38" ht="19" x14ac:dyDescent="0.25">
      <c r="A16" s="5" t="s">
        <v>11</v>
      </c>
      <c r="B16" s="1">
        <v>49018000</v>
      </c>
      <c r="C16" s="1">
        <v>70803000</v>
      </c>
      <c r="D16" s="1">
        <v>127962000</v>
      </c>
      <c r="E16" s="1">
        <v>310932000</v>
      </c>
      <c r="F16" s="1">
        <v>598373000</v>
      </c>
      <c r="L16" s="26">
        <f>(F35+E35+D35+C35)/4</f>
        <v>-1.5396029518067946E-2</v>
      </c>
      <c r="M16" s="33">
        <f>N101/F3</f>
        <v>16.961464274451227</v>
      </c>
      <c r="N16" s="33">
        <f>N101/F28</f>
        <v>-35.506102709756661</v>
      </c>
      <c r="O16" s="35">
        <f>N101/F107</f>
        <v>94.869210889748814</v>
      </c>
    </row>
    <row r="17" spans="1:15" ht="19" x14ac:dyDescent="0.25">
      <c r="A17" s="5" t="s">
        <v>12</v>
      </c>
      <c r="B17" s="1" t="s">
        <v>91</v>
      </c>
      <c r="C17" s="1" t="s">
        <v>91</v>
      </c>
      <c r="D17" s="1" t="s">
        <v>91</v>
      </c>
      <c r="E17" s="1">
        <v>8570000</v>
      </c>
      <c r="F17" s="1">
        <v>-12093000</v>
      </c>
    </row>
    <row r="18" spans="1:15" ht="20" x14ac:dyDescent="0.25">
      <c r="A18" s="5" t="s">
        <v>13</v>
      </c>
      <c r="B18" s="1">
        <v>162000</v>
      </c>
      <c r="C18" s="1">
        <v>171000</v>
      </c>
      <c r="D18" s="1">
        <v>235000</v>
      </c>
      <c r="E18" s="1">
        <v>331000</v>
      </c>
      <c r="F18" s="1">
        <v>29418000</v>
      </c>
      <c r="L18" s="19" t="s">
        <v>123</v>
      </c>
      <c r="M18" s="20" t="s">
        <v>157</v>
      </c>
      <c r="N18" s="20" t="s">
        <v>158</v>
      </c>
      <c r="O18" s="20" t="s">
        <v>159</v>
      </c>
    </row>
    <row r="19" spans="1:15" ht="19" x14ac:dyDescent="0.25">
      <c r="A19" s="6" t="s">
        <v>14</v>
      </c>
      <c r="B19" s="10">
        <v>-11381000</v>
      </c>
      <c r="C19" s="10">
        <v>-7339000</v>
      </c>
      <c r="D19" s="10">
        <v>4309000</v>
      </c>
      <c r="E19" s="10">
        <v>-65327000</v>
      </c>
      <c r="F19" s="10">
        <v>-184092000</v>
      </c>
      <c r="G19" s="41">
        <v>74000000</v>
      </c>
      <c r="H19" s="41">
        <v>111000000</v>
      </c>
      <c r="I19" s="41">
        <v>185000000</v>
      </c>
      <c r="J19" s="41">
        <v>305000000</v>
      </c>
      <c r="K19" s="41">
        <v>475000000</v>
      </c>
      <c r="L19" s="27">
        <f>F40-F56-F61</f>
        <v>208375000</v>
      </c>
      <c r="M19" s="33">
        <f>N101/G3</f>
        <v>12.003581314878893</v>
      </c>
      <c r="N19" s="34">
        <f>H116/G31</f>
        <v>114.16216216216218</v>
      </c>
      <c r="O19" s="35">
        <f>N101/G106</f>
        <v>77.955842696629219</v>
      </c>
    </row>
    <row r="20" spans="1:15" ht="19" customHeight="1" x14ac:dyDescent="0.25">
      <c r="A20" s="14" t="s">
        <v>100</v>
      </c>
      <c r="B20" s="1"/>
      <c r="C20" s="15">
        <f>(C19/B19)-1</f>
        <v>-0.35515332571830238</v>
      </c>
      <c r="D20" s="15">
        <f>(D19/C19)-1</f>
        <v>-1.5871372121542444</v>
      </c>
      <c r="E20" s="15">
        <f>(E19/D19)-1</f>
        <v>-16.160594105360872</v>
      </c>
      <c r="F20" s="15">
        <f>(F19/E19)-1</f>
        <v>1.8180078681096639</v>
      </c>
      <c r="G20" s="16">
        <f t="shared" ref="G20:K20" si="3">(G19/F19)-1</f>
        <v>-1.4019729265801881</v>
      </c>
      <c r="H20" s="16">
        <f t="shared" si="3"/>
        <v>0.5</v>
      </c>
      <c r="I20" s="16">
        <f t="shared" si="3"/>
        <v>0.66666666666666674</v>
      </c>
      <c r="J20" s="16">
        <f t="shared" si="3"/>
        <v>0.64864864864864868</v>
      </c>
      <c r="K20" s="16">
        <f t="shared" si="3"/>
        <v>0.55737704918032782</v>
      </c>
    </row>
    <row r="21" spans="1:15" ht="20" x14ac:dyDescent="0.25">
      <c r="A21" s="5" t="s">
        <v>15</v>
      </c>
      <c r="B21" s="2">
        <v>-0.29449999999999998</v>
      </c>
      <c r="C21" s="2">
        <v>-0.1114</v>
      </c>
      <c r="D21" s="2">
        <v>3.1600000000000003E-2</v>
      </c>
      <c r="E21" s="2">
        <v>-0.26629999999999998</v>
      </c>
      <c r="F21" s="2">
        <v>-0.45</v>
      </c>
      <c r="G21" s="42">
        <f>G19/G3</f>
        <v>0.12802768166089964</v>
      </c>
      <c r="H21" s="42">
        <f t="shared" ref="H21:K21" si="4">H19/H3</f>
        <v>0.14122137404580154</v>
      </c>
      <c r="I21" s="42">
        <f t="shared" si="4"/>
        <v>0.16879562043795621</v>
      </c>
      <c r="J21" s="42">
        <f t="shared" si="4"/>
        <v>0.21958243340532757</v>
      </c>
      <c r="K21" s="42">
        <f t="shared" si="4"/>
        <v>0.26927437641723356</v>
      </c>
      <c r="N21" s="19" t="s">
        <v>160</v>
      </c>
      <c r="O21" s="20" t="s">
        <v>161</v>
      </c>
    </row>
    <row r="22" spans="1:15" ht="19" x14ac:dyDescent="0.25">
      <c r="A22" s="6" t="s">
        <v>16</v>
      </c>
      <c r="B22" s="10">
        <v>-10378000</v>
      </c>
      <c r="C22" s="10">
        <v>-4951000</v>
      </c>
      <c r="D22" s="10">
        <v>8413000</v>
      </c>
      <c r="E22" s="10">
        <v>-65658000</v>
      </c>
      <c r="F22" s="10">
        <v>-189324000</v>
      </c>
      <c r="N22" s="36">
        <f>(-1*F98)/N101</f>
        <v>0</v>
      </c>
      <c r="O22" s="37">
        <f>F107/N101</f>
        <v>1.05408276365041E-2</v>
      </c>
    </row>
    <row r="23" spans="1:15" ht="19" x14ac:dyDescent="0.25">
      <c r="A23" s="5" t="s">
        <v>17</v>
      </c>
      <c r="B23" s="2">
        <v>-0.26860000000000001</v>
      </c>
      <c r="C23" s="2">
        <v>-7.5200000000000003E-2</v>
      </c>
      <c r="D23" s="2">
        <v>6.1699999999999998E-2</v>
      </c>
      <c r="E23" s="2">
        <v>-0.26769999999999999</v>
      </c>
      <c r="F23" s="2">
        <v>-0.46279999999999999</v>
      </c>
    </row>
    <row r="24" spans="1:15" ht="19" x14ac:dyDescent="0.25">
      <c r="A24" s="5" t="s">
        <v>18</v>
      </c>
      <c r="B24" s="1">
        <v>-1165000</v>
      </c>
      <c r="C24" s="1">
        <v>-2559000</v>
      </c>
      <c r="D24" s="1">
        <v>-4339000</v>
      </c>
      <c r="E24" s="1">
        <v>-8570000</v>
      </c>
      <c r="F24" s="1">
        <v>-12093000</v>
      </c>
    </row>
    <row r="25" spans="1:15" ht="19" x14ac:dyDescent="0.25">
      <c r="A25" s="6" t="s">
        <v>19</v>
      </c>
      <c r="B25" s="10">
        <v>-11543000</v>
      </c>
      <c r="C25" s="10">
        <v>-7510000</v>
      </c>
      <c r="D25" s="10">
        <v>4074000</v>
      </c>
      <c r="E25" s="10">
        <v>-74228000</v>
      </c>
      <c r="F25" s="10">
        <v>-201417000</v>
      </c>
    </row>
    <row r="26" spans="1:15" ht="19" x14ac:dyDescent="0.25">
      <c r="A26" s="5" t="s">
        <v>20</v>
      </c>
      <c r="B26" s="2">
        <v>-0.29870000000000002</v>
      </c>
      <c r="C26" s="2">
        <v>-0.114</v>
      </c>
      <c r="D26" s="2">
        <v>2.9899999999999999E-2</v>
      </c>
      <c r="E26" s="2">
        <v>-0.30259999999999998</v>
      </c>
      <c r="F26" s="2">
        <v>-0.4924</v>
      </c>
    </row>
    <row r="27" spans="1:15" ht="19" x14ac:dyDescent="0.25">
      <c r="A27" s="5" t="s">
        <v>21</v>
      </c>
      <c r="B27" s="1">
        <v>50000</v>
      </c>
      <c r="C27" s="1">
        <v>34000</v>
      </c>
      <c r="D27" s="1">
        <v>160000</v>
      </c>
      <c r="E27" s="1">
        <v>705000</v>
      </c>
      <c r="F27" s="1">
        <v>-6012000</v>
      </c>
    </row>
    <row r="28" spans="1:15" ht="20" thickBot="1" x14ac:dyDescent="0.3">
      <c r="A28" s="7" t="s">
        <v>22</v>
      </c>
      <c r="B28" s="11">
        <v>-11593000</v>
      </c>
      <c r="C28" s="11">
        <v>-7544000</v>
      </c>
      <c r="D28" s="11">
        <v>3914000</v>
      </c>
      <c r="E28" s="11">
        <v>-74933000</v>
      </c>
      <c r="F28" s="11">
        <v>-195405000</v>
      </c>
      <c r="G28" s="38">
        <v>61000000</v>
      </c>
      <c r="H28" s="38">
        <v>94168000</v>
      </c>
      <c r="I28" s="38">
        <v>181000000</v>
      </c>
      <c r="J28" s="38">
        <v>135000000</v>
      </c>
      <c r="K28" s="38">
        <v>229000000</v>
      </c>
    </row>
    <row r="29" spans="1:15" ht="20" customHeight="1" thickTop="1" x14ac:dyDescent="0.25">
      <c r="A29" s="14" t="s">
        <v>101</v>
      </c>
      <c r="B29" s="1"/>
      <c r="C29" s="15">
        <f>(C28/B28)-1</f>
        <v>-0.34926248598292076</v>
      </c>
      <c r="D29" s="15">
        <f>(D28/C28)-1</f>
        <v>-1.5188229056203606</v>
      </c>
      <c r="E29" s="15">
        <f>(E28/D28)-1</f>
        <v>-20.144864588656105</v>
      </c>
      <c r="F29" s="15">
        <f>(F28/E28)-1</f>
        <v>1.607729571750764</v>
      </c>
      <c r="G29" s="16">
        <f t="shared" ref="G29:K29" si="5">(G28/F28)-1</f>
        <v>-1.3121721552672654</v>
      </c>
      <c r="H29" s="16">
        <f t="shared" si="5"/>
        <v>0.54373770491803275</v>
      </c>
      <c r="I29" s="16">
        <f t="shared" si="5"/>
        <v>0.92209667827712183</v>
      </c>
      <c r="J29" s="16">
        <f t="shared" si="5"/>
        <v>-0.2541436464088398</v>
      </c>
      <c r="K29" s="16">
        <f t="shared" si="5"/>
        <v>0.69629629629629619</v>
      </c>
    </row>
    <row r="30" spans="1:15" ht="19" x14ac:dyDescent="0.25">
      <c r="A30" s="5" t="s">
        <v>23</v>
      </c>
      <c r="B30" s="2">
        <v>-0.3</v>
      </c>
      <c r="C30" s="2">
        <v>-0.11459999999999999</v>
      </c>
      <c r="D30" s="2">
        <v>2.87E-2</v>
      </c>
      <c r="E30" s="2">
        <v>-0.30549999999999999</v>
      </c>
      <c r="F30" s="2">
        <v>-0.47770000000000001</v>
      </c>
      <c r="G30" s="39">
        <f>G28/G3</f>
        <v>0.10553633217993079</v>
      </c>
      <c r="H30" s="39">
        <f t="shared" ref="H30:K30" si="6">H28/H3</f>
        <v>0.11980661577608143</v>
      </c>
      <c r="I30" s="39">
        <f t="shared" si="6"/>
        <v>0.16514598540145986</v>
      </c>
      <c r="J30" s="39">
        <f t="shared" si="6"/>
        <v>9.719222462203024E-2</v>
      </c>
      <c r="K30" s="39">
        <f t="shared" si="6"/>
        <v>0.12981859410430838</v>
      </c>
    </row>
    <row r="31" spans="1:15" ht="19" x14ac:dyDescent="0.25">
      <c r="A31" s="5" t="s">
        <v>24</v>
      </c>
      <c r="B31" s="12">
        <v>-0.1</v>
      </c>
      <c r="C31" s="12">
        <v>-7.0000000000000007E-2</v>
      </c>
      <c r="D31" s="12">
        <v>0.03</v>
      </c>
      <c r="E31" s="12">
        <v>-0.65</v>
      </c>
      <c r="F31" s="12">
        <v>-1.71</v>
      </c>
      <c r="G31" s="40">
        <v>0.37</v>
      </c>
      <c r="H31" s="40">
        <v>0.56999999999999995</v>
      </c>
      <c r="I31" s="40">
        <v>1.1000000000000001</v>
      </c>
      <c r="J31" s="40">
        <v>0.82</v>
      </c>
      <c r="K31" s="40">
        <v>1.4</v>
      </c>
    </row>
    <row r="32" spans="1:15" ht="19" x14ac:dyDescent="0.25">
      <c r="A32" s="5" t="s">
        <v>25</v>
      </c>
      <c r="B32" s="12">
        <v>-0.1</v>
      </c>
      <c r="C32" s="12">
        <v>-7.0000000000000007E-2</v>
      </c>
      <c r="D32" s="12">
        <v>0.03</v>
      </c>
      <c r="E32" s="12">
        <v>-0.65</v>
      </c>
      <c r="F32" s="12">
        <v>-1.71</v>
      </c>
    </row>
    <row r="33" spans="1:6" ht="19" x14ac:dyDescent="0.25">
      <c r="A33" s="5" t="s">
        <v>26</v>
      </c>
      <c r="B33" s="1">
        <v>114552727</v>
      </c>
      <c r="C33" s="1">
        <v>114552727</v>
      </c>
      <c r="D33" s="1">
        <v>114552727</v>
      </c>
      <c r="E33" s="1">
        <v>114552727</v>
      </c>
      <c r="F33" s="1">
        <v>114552727</v>
      </c>
    </row>
    <row r="34" spans="1:6" ht="19" x14ac:dyDescent="0.25">
      <c r="A34" s="5" t="s">
        <v>27</v>
      </c>
      <c r="B34" s="1">
        <v>122070320</v>
      </c>
      <c r="C34" s="1">
        <v>122070320</v>
      </c>
      <c r="D34" s="1">
        <v>122070320</v>
      </c>
      <c r="E34" s="1">
        <v>114552727</v>
      </c>
      <c r="F34" s="1">
        <v>114552727</v>
      </c>
    </row>
    <row r="35" spans="1:6" ht="20" customHeight="1" x14ac:dyDescent="0.25">
      <c r="A35" s="14" t="s">
        <v>102</v>
      </c>
      <c r="B35" s="1"/>
      <c r="C35" s="23">
        <f>(C34-B34)/B34</f>
        <v>0</v>
      </c>
      <c r="D35" s="23">
        <f t="shared" ref="D35:F35" si="7">(D34-C34)/C34</f>
        <v>0</v>
      </c>
      <c r="E35" s="23">
        <f t="shared" si="7"/>
        <v>-6.1584118072271786E-2</v>
      </c>
      <c r="F35" s="23">
        <f t="shared" si="7"/>
        <v>0</v>
      </c>
    </row>
    <row r="36" spans="1:6" ht="19" x14ac:dyDescent="0.25">
      <c r="A36" s="5" t="s">
        <v>28</v>
      </c>
      <c r="B36" s="13" t="s">
        <v>92</v>
      </c>
      <c r="C36" s="13" t="s">
        <v>92</v>
      </c>
      <c r="D36" s="13" t="s">
        <v>92</v>
      </c>
      <c r="E36" s="13" t="s">
        <v>92</v>
      </c>
      <c r="F36" s="13" t="s">
        <v>92</v>
      </c>
    </row>
    <row r="37" spans="1:6" ht="21" x14ac:dyDescent="0.25">
      <c r="A37" s="4" t="s">
        <v>29</v>
      </c>
      <c r="B37" s="9" t="s">
        <v>90</v>
      </c>
      <c r="C37" s="9" t="s">
        <v>90</v>
      </c>
      <c r="D37" s="9" t="s">
        <v>90</v>
      </c>
      <c r="E37" s="9" t="s">
        <v>90</v>
      </c>
      <c r="F37" s="9" t="s">
        <v>90</v>
      </c>
    </row>
    <row r="38" spans="1:6" ht="19" x14ac:dyDescent="0.25">
      <c r="A38" s="5" t="s">
        <v>30</v>
      </c>
      <c r="B38" s="1" t="s">
        <v>91</v>
      </c>
      <c r="C38" s="1">
        <v>5034000</v>
      </c>
      <c r="D38" s="1">
        <v>68637000</v>
      </c>
      <c r="E38" s="1">
        <v>448623000</v>
      </c>
      <c r="F38" s="1">
        <v>165033000</v>
      </c>
    </row>
    <row r="39" spans="1:6" ht="19" x14ac:dyDescent="0.25">
      <c r="A39" s="5" t="s">
        <v>31</v>
      </c>
      <c r="B39" s="1" t="s">
        <v>91</v>
      </c>
      <c r="C39" s="1">
        <v>82000</v>
      </c>
      <c r="D39" s="1">
        <v>23328000</v>
      </c>
      <c r="E39" s="1">
        <v>60449000</v>
      </c>
      <c r="F39" s="1">
        <v>63166000</v>
      </c>
    </row>
    <row r="40" spans="1:6" ht="19" x14ac:dyDescent="0.25">
      <c r="A40" s="5" t="s">
        <v>32</v>
      </c>
      <c r="B40" s="1" t="s">
        <v>91</v>
      </c>
      <c r="C40" s="1">
        <v>5116000</v>
      </c>
      <c r="D40" s="1">
        <v>91965000</v>
      </c>
      <c r="E40" s="1">
        <v>509072000</v>
      </c>
      <c r="F40" s="1">
        <v>228199000</v>
      </c>
    </row>
    <row r="41" spans="1:6" ht="19" x14ac:dyDescent="0.25">
      <c r="A41" s="5" t="s">
        <v>33</v>
      </c>
      <c r="B41" s="1" t="s">
        <v>91</v>
      </c>
      <c r="C41" s="1">
        <v>23550000</v>
      </c>
      <c r="D41" s="1">
        <v>38086000</v>
      </c>
      <c r="E41" s="1">
        <v>66820000</v>
      </c>
      <c r="F41" s="1">
        <v>94549000</v>
      </c>
    </row>
    <row r="42" spans="1:6" ht="19" x14ac:dyDescent="0.25">
      <c r="A42" s="5" t="s">
        <v>34</v>
      </c>
      <c r="B42" s="1" t="s">
        <v>91</v>
      </c>
      <c r="C42" s="1" t="s">
        <v>91</v>
      </c>
      <c r="D42" s="1" t="s">
        <v>91</v>
      </c>
      <c r="E42" s="1" t="s">
        <v>91</v>
      </c>
      <c r="F42" s="1" t="s">
        <v>91</v>
      </c>
    </row>
    <row r="43" spans="1:6" ht="19" x14ac:dyDescent="0.25">
      <c r="A43" s="5" t="s">
        <v>35</v>
      </c>
      <c r="B43" s="1" t="s">
        <v>91</v>
      </c>
      <c r="C43" s="1">
        <v>10653000</v>
      </c>
      <c r="D43" s="1">
        <v>23047000</v>
      </c>
      <c r="E43" s="1">
        <v>46568000</v>
      </c>
      <c r="F43" s="1">
        <v>51904000</v>
      </c>
    </row>
    <row r="44" spans="1:6" ht="19" x14ac:dyDescent="0.25">
      <c r="A44" s="6" t="s">
        <v>36</v>
      </c>
      <c r="B44" s="10" t="s">
        <v>91</v>
      </c>
      <c r="C44" s="10">
        <v>39319000</v>
      </c>
      <c r="D44" s="10">
        <v>153098000</v>
      </c>
      <c r="E44" s="10">
        <v>622460000</v>
      </c>
      <c r="F44" s="10">
        <v>374652000</v>
      </c>
    </row>
    <row r="45" spans="1:6" ht="19" x14ac:dyDescent="0.25">
      <c r="A45" s="5" t="s">
        <v>37</v>
      </c>
      <c r="B45" s="1" t="s">
        <v>91</v>
      </c>
      <c r="C45" s="1">
        <v>1895000</v>
      </c>
      <c r="D45" s="1">
        <v>4877000</v>
      </c>
      <c r="E45" s="1">
        <v>23377000</v>
      </c>
      <c r="F45" s="1">
        <v>30001000</v>
      </c>
    </row>
    <row r="46" spans="1:6" ht="19" x14ac:dyDescent="0.25">
      <c r="A46" s="5" t="s">
        <v>38</v>
      </c>
      <c r="B46" s="1" t="s">
        <v>91</v>
      </c>
      <c r="C46" s="1" t="s">
        <v>91</v>
      </c>
      <c r="D46" s="1" t="s">
        <v>91</v>
      </c>
      <c r="E46" s="1" t="s">
        <v>91</v>
      </c>
      <c r="F46" s="1" t="s">
        <v>91</v>
      </c>
    </row>
    <row r="47" spans="1:6" ht="19" x14ac:dyDescent="0.25">
      <c r="A47" s="5" t="s">
        <v>39</v>
      </c>
      <c r="B47" s="1" t="s">
        <v>91</v>
      </c>
      <c r="C47" s="1" t="s">
        <v>91</v>
      </c>
      <c r="D47" s="1" t="s">
        <v>91</v>
      </c>
      <c r="E47" s="1" t="s">
        <v>91</v>
      </c>
      <c r="F47" s="1" t="s">
        <v>91</v>
      </c>
    </row>
    <row r="48" spans="1:6" ht="19" x14ac:dyDescent="0.25">
      <c r="A48" s="5" t="s">
        <v>40</v>
      </c>
      <c r="B48" s="1" t="s">
        <v>91</v>
      </c>
      <c r="C48" s="1" t="s">
        <v>91</v>
      </c>
      <c r="D48" s="1" t="s">
        <v>91</v>
      </c>
      <c r="E48" s="1" t="s">
        <v>91</v>
      </c>
      <c r="F48" s="1">
        <v>466024000</v>
      </c>
    </row>
    <row r="49" spans="1:6" ht="19" x14ac:dyDescent="0.25">
      <c r="A49" s="5" t="s">
        <v>41</v>
      </c>
      <c r="B49" s="1" t="s">
        <v>91</v>
      </c>
      <c r="C49" s="1" t="s">
        <v>91</v>
      </c>
      <c r="D49" s="1" t="s">
        <v>91</v>
      </c>
      <c r="E49" s="1" t="s">
        <v>91</v>
      </c>
      <c r="F49" s="1" t="s">
        <v>91</v>
      </c>
    </row>
    <row r="50" spans="1:6" ht="19" x14ac:dyDescent="0.25">
      <c r="A50" s="5" t="s">
        <v>42</v>
      </c>
      <c r="B50" s="1" t="s">
        <v>91</v>
      </c>
      <c r="C50" s="1" t="s">
        <v>91</v>
      </c>
      <c r="D50" s="1" t="s">
        <v>91</v>
      </c>
      <c r="E50" s="1" t="s">
        <v>91</v>
      </c>
      <c r="F50" s="1">
        <v>171000</v>
      </c>
    </row>
    <row r="51" spans="1:6" ht="19" x14ac:dyDescent="0.25">
      <c r="A51" s="5" t="s">
        <v>43</v>
      </c>
      <c r="B51" s="1" t="s">
        <v>91</v>
      </c>
      <c r="C51" s="1">
        <v>2385000</v>
      </c>
      <c r="D51" s="1">
        <v>3320000</v>
      </c>
      <c r="E51" s="1">
        <v>200290000</v>
      </c>
      <c r="F51" s="1">
        <v>291752000</v>
      </c>
    </row>
    <row r="52" spans="1:6" ht="19" x14ac:dyDescent="0.25">
      <c r="A52" s="5" t="s">
        <v>44</v>
      </c>
      <c r="B52" s="1" t="s">
        <v>91</v>
      </c>
      <c r="C52" s="1">
        <v>4280000</v>
      </c>
      <c r="D52" s="1">
        <v>8197000</v>
      </c>
      <c r="E52" s="1">
        <v>223667000</v>
      </c>
      <c r="F52" s="1">
        <v>787948000</v>
      </c>
    </row>
    <row r="53" spans="1:6" ht="19" x14ac:dyDescent="0.25">
      <c r="A53" s="5" t="s">
        <v>45</v>
      </c>
      <c r="B53" s="1" t="s">
        <v>91</v>
      </c>
      <c r="C53" s="1" t="s">
        <v>91</v>
      </c>
      <c r="D53" s="1" t="s">
        <v>91</v>
      </c>
      <c r="E53" s="1" t="s">
        <v>91</v>
      </c>
      <c r="F53" s="1" t="s">
        <v>91</v>
      </c>
    </row>
    <row r="54" spans="1:6" ht="20" thickBot="1" x14ac:dyDescent="0.3">
      <c r="A54" s="7" t="s">
        <v>46</v>
      </c>
      <c r="B54" s="11" t="s">
        <v>91</v>
      </c>
      <c r="C54" s="11">
        <v>43599000</v>
      </c>
      <c r="D54" s="11">
        <v>161295000</v>
      </c>
      <c r="E54" s="11">
        <v>846127000</v>
      </c>
      <c r="F54" s="11">
        <v>1162600000</v>
      </c>
    </row>
    <row r="55" spans="1:6" ht="20" thickTop="1" x14ac:dyDescent="0.25">
      <c r="A55" s="5" t="s">
        <v>47</v>
      </c>
      <c r="B55" s="1" t="s">
        <v>91</v>
      </c>
      <c r="C55" s="1">
        <v>9039000</v>
      </c>
      <c r="D55" s="1">
        <v>19057000</v>
      </c>
      <c r="E55" s="1">
        <v>24064000</v>
      </c>
      <c r="F55" s="1">
        <v>52220000</v>
      </c>
    </row>
    <row r="56" spans="1:6" ht="19" x14ac:dyDescent="0.25">
      <c r="A56" s="5" t="s">
        <v>48</v>
      </c>
      <c r="B56" s="1" t="s">
        <v>91</v>
      </c>
      <c r="C56" s="1" t="s">
        <v>91</v>
      </c>
      <c r="D56" s="1" t="s">
        <v>91</v>
      </c>
      <c r="E56" s="1">
        <v>2517000</v>
      </c>
      <c r="F56" s="1">
        <v>3245000</v>
      </c>
    </row>
    <row r="57" spans="1:6" ht="19" x14ac:dyDescent="0.25">
      <c r="A57" s="5" t="s">
        <v>49</v>
      </c>
      <c r="B57" s="1" t="s">
        <v>91</v>
      </c>
      <c r="C57" s="1" t="s">
        <v>91</v>
      </c>
      <c r="D57" s="1" t="s">
        <v>91</v>
      </c>
      <c r="E57" s="1" t="s">
        <v>91</v>
      </c>
      <c r="F57" s="1" t="s">
        <v>91</v>
      </c>
    </row>
    <row r="58" spans="1:6" ht="19" x14ac:dyDescent="0.25">
      <c r="A58" s="5" t="s">
        <v>50</v>
      </c>
      <c r="B58" s="1" t="s">
        <v>91</v>
      </c>
      <c r="C58" s="1" t="s">
        <v>91</v>
      </c>
      <c r="D58" s="1">
        <v>4417000</v>
      </c>
      <c r="E58" s="1" t="s">
        <v>91</v>
      </c>
      <c r="F58" s="1" t="s">
        <v>91</v>
      </c>
    </row>
    <row r="59" spans="1:6" ht="19" x14ac:dyDescent="0.25">
      <c r="A59" s="5" t="s">
        <v>51</v>
      </c>
      <c r="B59" s="1" t="s">
        <v>91</v>
      </c>
      <c r="C59" s="1">
        <v>32756000</v>
      </c>
      <c r="D59" s="1">
        <v>60422000</v>
      </c>
      <c r="E59" s="1">
        <v>104993000</v>
      </c>
      <c r="F59" s="1">
        <v>154115000</v>
      </c>
    </row>
    <row r="60" spans="1:6" ht="19" x14ac:dyDescent="0.25">
      <c r="A60" s="6" t="s">
        <v>52</v>
      </c>
      <c r="B60" s="10" t="s">
        <v>91</v>
      </c>
      <c r="C60" s="10">
        <v>41795000</v>
      </c>
      <c r="D60" s="10">
        <v>83896000</v>
      </c>
      <c r="E60" s="10">
        <v>131574000</v>
      </c>
      <c r="F60" s="10">
        <v>209580000</v>
      </c>
    </row>
    <row r="61" spans="1:6" ht="19" x14ac:dyDescent="0.25">
      <c r="A61" s="5" t="s">
        <v>53</v>
      </c>
      <c r="B61" s="1" t="s">
        <v>91</v>
      </c>
      <c r="C61" s="1" t="s">
        <v>91</v>
      </c>
      <c r="D61" s="1" t="s">
        <v>91</v>
      </c>
      <c r="E61" s="1">
        <v>18803000</v>
      </c>
      <c r="F61" s="1">
        <v>16579000</v>
      </c>
    </row>
    <row r="62" spans="1:6" ht="19" x14ac:dyDescent="0.25">
      <c r="A62" s="5" t="s">
        <v>50</v>
      </c>
      <c r="B62" s="1" t="s">
        <v>91</v>
      </c>
      <c r="C62" s="1" t="s">
        <v>91</v>
      </c>
      <c r="D62" s="1" t="s">
        <v>91</v>
      </c>
      <c r="E62" s="1" t="s">
        <v>91</v>
      </c>
      <c r="F62" s="1" t="s">
        <v>91</v>
      </c>
    </row>
    <row r="63" spans="1:6" ht="19" x14ac:dyDescent="0.25">
      <c r="A63" s="5" t="s">
        <v>54</v>
      </c>
      <c r="B63" s="1" t="s">
        <v>91</v>
      </c>
      <c r="C63" s="1">
        <v>38000</v>
      </c>
      <c r="D63" s="1">
        <v>105000</v>
      </c>
      <c r="E63" s="1" t="s">
        <v>91</v>
      </c>
      <c r="F63" s="1">
        <v>6558000</v>
      </c>
    </row>
    <row r="64" spans="1:6" ht="19" x14ac:dyDescent="0.25">
      <c r="A64" s="5" t="s">
        <v>55</v>
      </c>
      <c r="B64" s="1" t="s">
        <v>91</v>
      </c>
      <c r="C64" s="1">
        <v>54796000</v>
      </c>
      <c r="D64" s="1">
        <v>121804000</v>
      </c>
      <c r="E64" s="1" t="s">
        <v>91</v>
      </c>
      <c r="F64" s="1">
        <v>1762000</v>
      </c>
    </row>
    <row r="65" spans="1:6" ht="19" x14ac:dyDescent="0.25">
      <c r="A65" s="5" t="s">
        <v>56</v>
      </c>
      <c r="B65" s="1" t="s">
        <v>91</v>
      </c>
      <c r="C65" s="1">
        <v>54834000</v>
      </c>
      <c r="D65" s="1">
        <v>121909000</v>
      </c>
      <c r="E65" s="1">
        <v>18803000</v>
      </c>
      <c r="F65" s="1">
        <v>24899000</v>
      </c>
    </row>
    <row r="66" spans="1:6" ht="19" x14ac:dyDescent="0.25">
      <c r="A66" s="5" t="s">
        <v>57</v>
      </c>
      <c r="B66" s="1" t="s">
        <v>91</v>
      </c>
      <c r="C66" s="1" t="s">
        <v>91</v>
      </c>
      <c r="D66" s="1" t="s">
        <v>91</v>
      </c>
      <c r="E66" s="1" t="s">
        <v>91</v>
      </c>
      <c r="F66" s="1" t="s">
        <v>91</v>
      </c>
    </row>
    <row r="67" spans="1:6" ht="19" x14ac:dyDescent="0.25">
      <c r="A67" s="6" t="s">
        <v>58</v>
      </c>
      <c r="B67" s="10" t="s">
        <v>91</v>
      </c>
      <c r="C67" s="10">
        <v>96629000</v>
      </c>
      <c r="D67" s="10">
        <v>205805000</v>
      </c>
      <c r="E67" s="10">
        <v>150377000</v>
      </c>
      <c r="F67" s="10">
        <v>234479000</v>
      </c>
    </row>
    <row r="68" spans="1:6" ht="19" x14ac:dyDescent="0.25">
      <c r="A68" s="5" t="s">
        <v>59</v>
      </c>
      <c r="B68" s="1" t="s">
        <v>91</v>
      </c>
      <c r="C68" s="1" t="s">
        <v>91</v>
      </c>
      <c r="D68" s="1" t="s">
        <v>91</v>
      </c>
      <c r="E68" s="1">
        <v>823550000</v>
      </c>
      <c r="F68" s="1">
        <v>1253093000</v>
      </c>
    </row>
    <row r="69" spans="1:6" ht="19" x14ac:dyDescent="0.25">
      <c r="A69" s="5" t="s">
        <v>60</v>
      </c>
      <c r="B69" s="1" t="s">
        <v>91</v>
      </c>
      <c r="C69" s="1">
        <v>-56622000</v>
      </c>
      <c r="D69" s="1">
        <v>-52708000</v>
      </c>
      <c r="E69" s="1">
        <v>-127641000</v>
      </c>
      <c r="F69" s="1">
        <v>-323046000</v>
      </c>
    </row>
    <row r="70" spans="1:6" ht="19" x14ac:dyDescent="0.25">
      <c r="A70" s="5" t="s">
        <v>61</v>
      </c>
      <c r="B70" s="1" t="s">
        <v>91</v>
      </c>
      <c r="C70" s="1">
        <v>-545000</v>
      </c>
      <c r="D70" s="1">
        <v>-706000</v>
      </c>
      <c r="E70" s="1">
        <v>-159000</v>
      </c>
      <c r="F70" s="1">
        <v>-1926000</v>
      </c>
    </row>
    <row r="71" spans="1:6" ht="19" x14ac:dyDescent="0.25">
      <c r="A71" s="5" t="s">
        <v>62</v>
      </c>
      <c r="B71" s="1" t="s">
        <v>91</v>
      </c>
      <c r="C71" s="1">
        <v>4137000</v>
      </c>
      <c r="D71" s="1">
        <v>194916000</v>
      </c>
      <c r="E71" s="1" t="s">
        <v>91</v>
      </c>
      <c r="F71" s="1" t="s">
        <v>91</v>
      </c>
    </row>
    <row r="72" spans="1:6" ht="19" x14ac:dyDescent="0.25">
      <c r="A72" s="6" t="s">
        <v>63</v>
      </c>
      <c r="B72" s="10" t="s">
        <v>91</v>
      </c>
      <c r="C72" s="10">
        <v>-53030000</v>
      </c>
      <c r="D72" s="10">
        <v>141502000</v>
      </c>
      <c r="E72" s="10">
        <v>695750000</v>
      </c>
      <c r="F72" s="10">
        <v>928121000</v>
      </c>
    </row>
    <row r="73" spans="1:6" ht="20" thickBot="1" x14ac:dyDescent="0.3">
      <c r="A73" s="7" t="s">
        <v>64</v>
      </c>
      <c r="B73" s="11" t="s">
        <v>91</v>
      </c>
      <c r="C73" s="11">
        <v>43599000</v>
      </c>
      <c r="D73" s="11">
        <v>347307000</v>
      </c>
      <c r="E73" s="11">
        <v>846127000</v>
      </c>
      <c r="F73" s="11">
        <v>1162600000</v>
      </c>
    </row>
    <row r="74" spans="1:6" ht="20" thickTop="1" x14ac:dyDescent="0.25">
      <c r="A74" s="5" t="s">
        <v>28</v>
      </c>
      <c r="B74" s="13" t="s">
        <v>92</v>
      </c>
      <c r="C74" s="13" t="s">
        <v>92</v>
      </c>
      <c r="D74" s="13" t="s">
        <v>92</v>
      </c>
      <c r="E74" s="13" t="s">
        <v>92</v>
      </c>
      <c r="F74" s="13" t="s">
        <v>92</v>
      </c>
    </row>
    <row r="75" spans="1:6" ht="21" x14ac:dyDescent="0.25">
      <c r="A75" s="4" t="s">
        <v>65</v>
      </c>
      <c r="B75" s="9" t="s">
        <v>90</v>
      </c>
      <c r="C75" s="9" t="s">
        <v>90</v>
      </c>
      <c r="D75" s="9" t="s">
        <v>90</v>
      </c>
      <c r="E75" s="9" t="s">
        <v>90</v>
      </c>
      <c r="F75" s="9" t="s">
        <v>90</v>
      </c>
    </row>
    <row r="76" spans="1:6" ht="19" x14ac:dyDescent="0.25">
      <c r="A76" s="5" t="s">
        <v>66</v>
      </c>
      <c r="B76" s="1">
        <v>-11593000</v>
      </c>
      <c r="C76" s="1">
        <v>-7544000</v>
      </c>
      <c r="D76" s="1">
        <v>3914000</v>
      </c>
      <c r="E76" s="1">
        <v>-74933000</v>
      </c>
      <c r="F76" s="1">
        <v>-195405000</v>
      </c>
    </row>
    <row r="77" spans="1:6" ht="19" x14ac:dyDescent="0.25">
      <c r="A77" s="5" t="s">
        <v>13</v>
      </c>
      <c r="B77" s="1">
        <v>162000</v>
      </c>
      <c r="C77" s="1">
        <v>171000</v>
      </c>
      <c r="D77" s="1">
        <v>235000</v>
      </c>
      <c r="E77" s="1">
        <v>331000</v>
      </c>
      <c r="F77" s="1">
        <v>29418000</v>
      </c>
    </row>
    <row r="78" spans="1:6" ht="19" x14ac:dyDescent="0.25">
      <c r="A78" s="5" t="s">
        <v>67</v>
      </c>
      <c r="B78" s="1" t="s">
        <v>91</v>
      </c>
      <c r="C78" s="1" t="s">
        <v>91</v>
      </c>
      <c r="D78" s="1" t="s">
        <v>91</v>
      </c>
      <c r="E78" s="1" t="s">
        <v>91</v>
      </c>
      <c r="F78" s="1" t="s">
        <v>91</v>
      </c>
    </row>
    <row r="79" spans="1:6" ht="19" x14ac:dyDescent="0.25">
      <c r="A79" s="5" t="s">
        <v>68</v>
      </c>
      <c r="B79" s="1">
        <v>219000</v>
      </c>
      <c r="C79" s="1">
        <v>221000</v>
      </c>
      <c r="D79" s="1">
        <v>3956000</v>
      </c>
      <c r="E79" s="1">
        <v>12001000</v>
      </c>
      <c r="F79" s="1">
        <v>38909000</v>
      </c>
    </row>
    <row r="80" spans="1:6" ht="19" x14ac:dyDescent="0.25">
      <c r="A80" s="14" t="s">
        <v>103</v>
      </c>
      <c r="B80" s="15">
        <f t="shared" ref="B80:F80" si="8">B79/B3</f>
        <v>5.6677018633540374E-3</v>
      </c>
      <c r="C80" s="15">
        <f t="shared" si="8"/>
        <v>3.3560104476705339E-3</v>
      </c>
      <c r="D80" s="15">
        <f t="shared" si="8"/>
        <v>2.9008249312557285E-2</v>
      </c>
      <c r="E80" s="15">
        <f t="shared" si="8"/>
        <v>4.8928952926115286E-2</v>
      </c>
      <c r="F80" s="15">
        <f t="shared" si="8"/>
        <v>9.5120633469339855E-2</v>
      </c>
    </row>
    <row r="81" spans="1:14" ht="19" x14ac:dyDescent="0.25">
      <c r="A81" s="5" t="s">
        <v>69</v>
      </c>
      <c r="B81" s="1">
        <v>3225000</v>
      </c>
      <c r="C81" s="1">
        <v>14175000</v>
      </c>
      <c r="D81" s="1">
        <v>21245000</v>
      </c>
      <c r="E81" s="1">
        <v>-11985000</v>
      </c>
      <c r="F81" s="1">
        <v>209712000</v>
      </c>
    </row>
    <row r="82" spans="1:14" ht="19" x14ac:dyDescent="0.25">
      <c r="A82" s="5" t="s">
        <v>70</v>
      </c>
      <c r="B82" s="1">
        <v>-332000</v>
      </c>
      <c r="C82" s="1">
        <v>-1193000</v>
      </c>
      <c r="D82" s="1">
        <v>-1652000</v>
      </c>
      <c r="E82" s="1">
        <v>-5591000</v>
      </c>
      <c r="F82" s="1">
        <v>2662000</v>
      </c>
    </row>
    <row r="83" spans="1:14" ht="21" x14ac:dyDescent="0.25">
      <c r="A83" s="5" t="s">
        <v>34</v>
      </c>
      <c r="B83" s="1" t="s">
        <v>91</v>
      </c>
      <c r="C83" s="1" t="s">
        <v>91</v>
      </c>
      <c r="D83" s="1" t="s">
        <v>91</v>
      </c>
      <c r="E83" s="1">
        <v>24000</v>
      </c>
      <c r="F83" s="1" t="s">
        <v>91</v>
      </c>
      <c r="M83" s="67" t="s">
        <v>124</v>
      </c>
      <c r="N83" s="68"/>
    </row>
    <row r="84" spans="1:14" ht="19" x14ac:dyDescent="0.25">
      <c r="A84" s="5" t="s">
        <v>47</v>
      </c>
      <c r="B84" s="1">
        <v>1315000</v>
      </c>
      <c r="C84" s="1">
        <v>4131000</v>
      </c>
      <c r="D84" s="1">
        <v>10018000</v>
      </c>
      <c r="E84" s="1">
        <v>5007000</v>
      </c>
      <c r="F84" s="1">
        <v>16648000</v>
      </c>
      <c r="M84" s="69" t="s">
        <v>125</v>
      </c>
      <c r="N84" s="69"/>
    </row>
    <row r="85" spans="1:14" ht="20" x14ac:dyDescent="0.25">
      <c r="A85" s="5" t="s">
        <v>71</v>
      </c>
      <c r="B85" s="1">
        <v>-215000</v>
      </c>
      <c r="C85" s="1">
        <v>-252000</v>
      </c>
      <c r="D85" s="1">
        <v>-377000</v>
      </c>
      <c r="E85" s="1">
        <v>-904000</v>
      </c>
      <c r="F85" s="1">
        <v>-8939000</v>
      </c>
      <c r="M85" s="43" t="s">
        <v>126</v>
      </c>
      <c r="N85" s="44">
        <f>F17</f>
        <v>-12093000</v>
      </c>
    </row>
    <row r="86" spans="1:14" ht="20" x14ac:dyDescent="0.25">
      <c r="A86" s="5" t="s">
        <v>72</v>
      </c>
      <c r="B86" s="1" t="s">
        <v>91</v>
      </c>
      <c r="C86" s="1">
        <v>5000</v>
      </c>
      <c r="D86" s="1" t="s">
        <v>91</v>
      </c>
      <c r="E86" s="1">
        <v>90334000</v>
      </c>
      <c r="F86" s="1">
        <v>-1149000</v>
      </c>
      <c r="M86" s="43" t="s">
        <v>127</v>
      </c>
      <c r="N86" s="44">
        <f>F56</f>
        <v>3245000</v>
      </c>
    </row>
    <row r="87" spans="1:14" ht="20" x14ac:dyDescent="0.25">
      <c r="A87" s="6" t="s">
        <v>73</v>
      </c>
      <c r="B87" s="10">
        <v>-7987000</v>
      </c>
      <c r="C87" s="10">
        <v>7028000</v>
      </c>
      <c r="D87" s="10">
        <v>29350000</v>
      </c>
      <c r="E87" s="10">
        <v>15748000</v>
      </c>
      <c r="F87" s="10">
        <v>81485000</v>
      </c>
      <c r="M87" s="43" t="s">
        <v>128</v>
      </c>
      <c r="N87" s="44">
        <f>F61</f>
        <v>16579000</v>
      </c>
    </row>
    <row r="88" spans="1:14" ht="20" x14ac:dyDescent="0.25">
      <c r="A88" s="5" t="s">
        <v>74</v>
      </c>
      <c r="B88" s="1">
        <v>-108000</v>
      </c>
      <c r="C88" s="1">
        <v>-264000</v>
      </c>
      <c r="D88" s="1">
        <v>-456000</v>
      </c>
      <c r="E88" s="1">
        <v>-2883000</v>
      </c>
      <c r="F88" s="1">
        <v>-8352000</v>
      </c>
      <c r="M88" s="45" t="s">
        <v>129</v>
      </c>
      <c r="N88" s="46">
        <f>N85/(N86+N87)</f>
        <v>-0.61001815980629537</v>
      </c>
    </row>
    <row r="89" spans="1:14" ht="20" customHeight="1" x14ac:dyDescent="0.25">
      <c r="A89" s="14" t="s">
        <v>104</v>
      </c>
      <c r="B89" s="15">
        <f t="shared" ref="B89:F89" si="9">(-1*B88)/B3</f>
        <v>2.7950310559006213E-3</v>
      </c>
      <c r="C89" s="15">
        <f t="shared" si="9"/>
        <v>4.0089898560408191E-3</v>
      </c>
      <c r="D89" s="15">
        <f t="shared" si="9"/>
        <v>3.3437213565536204E-3</v>
      </c>
      <c r="E89" s="15">
        <f t="shared" si="9"/>
        <v>1.1754201423713887E-2</v>
      </c>
      <c r="F89" s="15">
        <f t="shared" si="9"/>
        <v>2.0418091720062877E-2</v>
      </c>
      <c r="M89" s="43" t="s">
        <v>105</v>
      </c>
      <c r="N89" s="44">
        <f>F27</f>
        <v>-6012000</v>
      </c>
    </row>
    <row r="90" spans="1:14" ht="20" x14ac:dyDescent="0.25">
      <c r="A90" s="5" t="s">
        <v>75</v>
      </c>
      <c r="B90" s="1" t="s">
        <v>91</v>
      </c>
      <c r="C90" s="1" t="s">
        <v>91</v>
      </c>
      <c r="D90" s="1" t="s">
        <v>91</v>
      </c>
      <c r="E90" s="1" t="s">
        <v>91</v>
      </c>
      <c r="F90" s="1">
        <v>-317483000</v>
      </c>
      <c r="M90" s="43" t="s">
        <v>19</v>
      </c>
      <c r="N90" s="44">
        <f>F25</f>
        <v>-201417000</v>
      </c>
    </row>
    <row r="91" spans="1:14" ht="20" x14ac:dyDescent="0.25">
      <c r="A91" s="5" t="s">
        <v>76</v>
      </c>
      <c r="B91" s="1">
        <v>-1504000</v>
      </c>
      <c r="C91" s="1">
        <v>-188000</v>
      </c>
      <c r="D91" s="1">
        <v>-23590000</v>
      </c>
      <c r="E91" s="1">
        <v>-120011000</v>
      </c>
      <c r="F91" s="1">
        <v>-100265000</v>
      </c>
      <c r="M91" s="45" t="s">
        <v>130</v>
      </c>
      <c r="N91" s="46">
        <f>N89/N90</f>
        <v>2.9848523213035643E-2</v>
      </c>
    </row>
    <row r="92" spans="1:14" ht="20" x14ac:dyDescent="0.25">
      <c r="A92" s="5" t="s">
        <v>77</v>
      </c>
      <c r="B92" s="1" t="s">
        <v>91</v>
      </c>
      <c r="C92" s="1" t="s">
        <v>91</v>
      </c>
      <c r="D92" s="1" t="s">
        <v>91</v>
      </c>
      <c r="E92" s="1">
        <v>82405000</v>
      </c>
      <c r="F92" s="1">
        <v>95999000</v>
      </c>
      <c r="M92" s="45" t="s">
        <v>131</v>
      </c>
      <c r="N92" s="46">
        <f>N88*(1-N91)</f>
        <v>-0.59181001860294391</v>
      </c>
    </row>
    <row r="93" spans="1:14" ht="19" x14ac:dyDescent="0.25">
      <c r="A93" s="5" t="s">
        <v>78</v>
      </c>
      <c r="B93" s="1" t="s">
        <v>91</v>
      </c>
      <c r="C93" s="1" t="s">
        <v>91</v>
      </c>
      <c r="D93" s="1" t="s">
        <v>91</v>
      </c>
      <c r="E93" s="1" t="s">
        <v>91</v>
      </c>
      <c r="F93" s="1" t="s">
        <v>91</v>
      </c>
      <c r="M93" s="69" t="s">
        <v>132</v>
      </c>
      <c r="N93" s="69"/>
    </row>
    <row r="94" spans="1:14" ht="20" x14ac:dyDescent="0.25">
      <c r="A94" s="6" t="s">
        <v>79</v>
      </c>
      <c r="B94" s="10">
        <v>-1612000</v>
      </c>
      <c r="C94" s="10">
        <v>-452000</v>
      </c>
      <c r="D94" s="10">
        <v>-24046000</v>
      </c>
      <c r="E94" s="10">
        <v>-40489000</v>
      </c>
      <c r="F94" s="10">
        <v>-330101000</v>
      </c>
      <c r="M94" s="43" t="s">
        <v>133</v>
      </c>
      <c r="N94" s="47">
        <f>[1]Treasuries!$C$8</f>
        <v>3.9120000000000002E-2</v>
      </c>
    </row>
    <row r="95" spans="1:14" ht="20" x14ac:dyDescent="0.25">
      <c r="A95" s="5" t="s">
        <v>80</v>
      </c>
      <c r="B95" s="1" t="s">
        <v>91</v>
      </c>
      <c r="C95" s="1" t="s">
        <v>91</v>
      </c>
      <c r="D95" s="1" t="s">
        <v>91</v>
      </c>
      <c r="E95" s="1" t="s">
        <v>91</v>
      </c>
      <c r="F95" s="1" t="s">
        <v>91</v>
      </c>
      <c r="M95" s="48" t="s">
        <v>134</v>
      </c>
      <c r="N95" s="49">
        <f>2.43</f>
        <v>2.4300000000000002</v>
      </c>
    </row>
    <row r="96" spans="1:14" ht="20" x14ac:dyDescent="0.25">
      <c r="A96" s="5" t="s">
        <v>81</v>
      </c>
      <c r="B96" s="1" t="s">
        <v>91</v>
      </c>
      <c r="C96" s="1" t="s">
        <v>91</v>
      </c>
      <c r="D96" s="1" t="s">
        <v>91</v>
      </c>
      <c r="E96" s="1">
        <v>396494000</v>
      </c>
      <c r="F96" s="1" t="s">
        <v>91</v>
      </c>
      <c r="M96" s="43" t="s">
        <v>135</v>
      </c>
      <c r="N96" s="47">
        <v>8.4000000000000005E-2</v>
      </c>
    </row>
    <row r="97" spans="1:14" ht="20" x14ac:dyDescent="0.25">
      <c r="A97" s="5" t="s">
        <v>82</v>
      </c>
      <c r="B97" s="1" t="s">
        <v>91</v>
      </c>
      <c r="C97" s="1" t="s">
        <v>91</v>
      </c>
      <c r="D97" s="1" t="s">
        <v>91</v>
      </c>
      <c r="E97" s="1" t="s">
        <v>91</v>
      </c>
      <c r="F97" s="1" t="s">
        <v>91</v>
      </c>
      <c r="M97" s="45" t="s">
        <v>136</v>
      </c>
      <c r="N97" s="46">
        <f>(N94)+((N95)*(N96-N94))</f>
        <v>0.14817840000000002</v>
      </c>
    </row>
    <row r="98" spans="1:14" ht="19" x14ac:dyDescent="0.25">
      <c r="A98" s="5" t="s">
        <v>83</v>
      </c>
      <c r="B98" s="1" t="s">
        <v>91</v>
      </c>
      <c r="C98" s="1" t="s">
        <v>91</v>
      </c>
      <c r="D98" s="1" t="s">
        <v>91</v>
      </c>
      <c r="E98" s="1" t="s">
        <v>91</v>
      </c>
      <c r="F98" s="1">
        <v>0</v>
      </c>
      <c r="M98" s="69" t="s">
        <v>137</v>
      </c>
      <c r="N98" s="69"/>
    </row>
    <row r="99" spans="1:14" ht="20" x14ac:dyDescent="0.25">
      <c r="A99" s="5" t="s">
        <v>84</v>
      </c>
      <c r="B99" s="1">
        <v>19972000</v>
      </c>
      <c r="C99" s="1">
        <v>147000</v>
      </c>
      <c r="D99" s="1">
        <v>59360000</v>
      </c>
      <c r="E99" s="1">
        <v>2113000</v>
      </c>
      <c r="F99" s="1">
        <v>1239000</v>
      </c>
      <c r="M99" s="43" t="s">
        <v>138</v>
      </c>
      <c r="N99" s="44">
        <f>N86+N87</f>
        <v>19824000</v>
      </c>
    </row>
    <row r="100" spans="1:14" ht="20" x14ac:dyDescent="0.25">
      <c r="A100" s="6" t="s">
        <v>85</v>
      </c>
      <c r="B100" s="10">
        <v>19972000</v>
      </c>
      <c r="C100" s="10">
        <v>147000</v>
      </c>
      <c r="D100" s="10">
        <v>59360000</v>
      </c>
      <c r="E100" s="10">
        <v>398607000</v>
      </c>
      <c r="F100" s="10">
        <v>1239000</v>
      </c>
      <c r="M100" s="45" t="s">
        <v>139</v>
      </c>
      <c r="N100" s="46">
        <f>N99/N103</f>
        <v>2.8491379719208141E-3</v>
      </c>
    </row>
    <row r="101" spans="1:14" ht="20" x14ac:dyDescent="0.25">
      <c r="A101" s="5" t="s">
        <v>86</v>
      </c>
      <c r="B101" s="1" t="s">
        <v>91</v>
      </c>
      <c r="C101" s="1" t="s">
        <v>91</v>
      </c>
      <c r="D101" s="1" t="s">
        <v>91</v>
      </c>
      <c r="E101" s="1" t="s">
        <v>91</v>
      </c>
      <c r="F101" s="1" t="s">
        <v>91</v>
      </c>
      <c r="M101" s="43" t="s">
        <v>140</v>
      </c>
      <c r="N101" s="50" cm="1">
        <f t="array" ref="N101">_FV(A1,"Market cap",TRUE)</f>
        <v>6938070000</v>
      </c>
    </row>
    <row r="102" spans="1:14" ht="20" x14ac:dyDescent="0.25">
      <c r="A102" s="6" t="s">
        <v>87</v>
      </c>
      <c r="B102" s="10">
        <v>10373000</v>
      </c>
      <c r="C102" s="10">
        <v>6723000</v>
      </c>
      <c r="D102" s="10">
        <v>64664000</v>
      </c>
      <c r="E102" s="10">
        <v>373866000</v>
      </c>
      <c r="F102" s="10">
        <v>-247377000</v>
      </c>
      <c r="M102" s="45" t="s">
        <v>141</v>
      </c>
      <c r="N102" s="46">
        <f>N101/N103</f>
        <v>0.99715086202807923</v>
      </c>
    </row>
    <row r="103" spans="1:14" ht="20" x14ac:dyDescent="0.25">
      <c r="A103" s="5" t="s">
        <v>88</v>
      </c>
      <c r="B103" s="1">
        <v>3273000</v>
      </c>
      <c r="C103" s="1">
        <v>13646000</v>
      </c>
      <c r="D103" s="1">
        <v>20369000</v>
      </c>
      <c r="E103" s="1">
        <v>85033000</v>
      </c>
      <c r="F103" s="1">
        <v>458899000</v>
      </c>
      <c r="M103" s="45" t="s">
        <v>142</v>
      </c>
      <c r="N103" s="51">
        <f>N99+N101</f>
        <v>6957894000</v>
      </c>
    </row>
    <row r="104" spans="1:14" ht="20" thickBot="1" x14ac:dyDescent="0.3">
      <c r="A104" s="7" t="s">
        <v>89</v>
      </c>
      <c r="B104" s="11">
        <v>13646000</v>
      </c>
      <c r="C104" s="11">
        <v>20369000</v>
      </c>
      <c r="D104" s="11">
        <v>85033000</v>
      </c>
      <c r="E104" s="11">
        <v>458899000</v>
      </c>
      <c r="F104" s="11">
        <v>211522000</v>
      </c>
      <c r="M104" s="69" t="s">
        <v>143</v>
      </c>
      <c r="N104" s="69"/>
    </row>
    <row r="105" spans="1:14" ht="21" thickTop="1" x14ac:dyDescent="0.25">
      <c r="A105" s="14" t="s">
        <v>162</v>
      </c>
      <c r="B105" s="1">
        <f t="shared" ref="B105:E105" si="10">(B22*(1-$N$91))+B77+B88+B81</f>
        <v>-6789232.0260951165</v>
      </c>
      <c r="C105" s="1">
        <f t="shared" si="10"/>
        <v>9278780.0384277403</v>
      </c>
      <c r="D105" s="1">
        <f t="shared" si="10"/>
        <v>29185884.37420873</v>
      </c>
      <c r="E105" s="1">
        <f t="shared" si="10"/>
        <v>-78235205.662878513</v>
      </c>
      <c r="F105" s="1">
        <f>(F22*(1-$N$91))+F77+F88+F81</f>
        <v>47105041.808784753</v>
      </c>
      <c r="G105" s="28">
        <f>F105*(1+$N$106)</f>
        <v>63164200.455584705</v>
      </c>
      <c r="H105" s="28">
        <f t="shared" ref="H105:K105" si="11">G105*(1+$N$106)</f>
        <v>84698284.217406929</v>
      </c>
      <c r="I105" s="28">
        <f t="shared" si="11"/>
        <v>113573817.09307091</v>
      </c>
      <c r="J105" s="28">
        <f t="shared" si="11"/>
        <v>152293662.71435475</v>
      </c>
      <c r="K105" s="28">
        <f t="shared" si="11"/>
        <v>204213966.7098383</v>
      </c>
      <c r="L105" s="29" t="s">
        <v>165</v>
      </c>
      <c r="M105" s="52" t="s">
        <v>106</v>
      </c>
      <c r="N105" s="53">
        <f>(N100*N92)+(N102*N97)</f>
        <v>0.14607007089777674</v>
      </c>
    </row>
    <row r="106" spans="1:14" ht="19" x14ac:dyDescent="0.25">
      <c r="A106" s="14" t="s">
        <v>163</v>
      </c>
      <c r="B106" s="1"/>
      <c r="C106" s="15">
        <f>(C107/B107)-1</f>
        <v>-1.8355775169857937</v>
      </c>
      <c r="D106" s="15">
        <f>(D107/C107)-1</f>
        <v>3.2717327025428737</v>
      </c>
      <c r="E106" s="15">
        <f>(E107/D107)-1</f>
        <v>-0.55475185159548701</v>
      </c>
      <c r="F106" s="15">
        <f>(F107/E107)-1</f>
        <v>4.6846482705013601</v>
      </c>
      <c r="G106" s="31">
        <v>89000000</v>
      </c>
      <c r="H106" s="31">
        <v>129500000</v>
      </c>
      <c r="I106" s="31">
        <v>198200000</v>
      </c>
      <c r="J106" s="31">
        <v>318800000</v>
      </c>
      <c r="K106" s="31">
        <v>479900000</v>
      </c>
      <c r="L106" s="29" t="s">
        <v>166</v>
      </c>
      <c r="M106" s="54" t="s">
        <v>144</v>
      </c>
      <c r="N106" s="55">
        <f>(SUM(G4:K4)/5)</f>
        <v>0.34092228836117999</v>
      </c>
    </row>
    <row r="107" spans="1:14" ht="19" x14ac:dyDescent="0.25">
      <c r="A107" s="65" t="s">
        <v>164</v>
      </c>
      <c r="B107" s="1">
        <v>-8095000</v>
      </c>
      <c r="C107" s="1">
        <v>6764000</v>
      </c>
      <c r="D107" s="1">
        <v>28894000</v>
      </c>
      <c r="E107" s="1">
        <v>12865000</v>
      </c>
      <c r="F107" s="1">
        <v>73133000</v>
      </c>
      <c r="G107" s="29"/>
      <c r="H107" s="29"/>
      <c r="I107" s="29"/>
      <c r="J107" s="29"/>
      <c r="K107" s="32">
        <f>K106*(1+N107)/(N108-N107)</f>
        <v>4062915767.3106875</v>
      </c>
      <c r="L107" s="30" t="s">
        <v>145</v>
      </c>
      <c r="M107" s="56" t="s">
        <v>146</v>
      </c>
      <c r="N107" s="57">
        <v>2.5000000000000001E-2</v>
      </c>
    </row>
    <row r="108" spans="1:14" ht="19" x14ac:dyDescent="0.25">
      <c r="G108" s="32">
        <f t="shared" ref="G108:J108" si="12">G107+G106</f>
        <v>89000000</v>
      </c>
      <c r="H108" s="32">
        <f t="shared" si="12"/>
        <v>129500000</v>
      </c>
      <c r="I108" s="32">
        <f t="shared" si="12"/>
        <v>198200000</v>
      </c>
      <c r="J108" s="32">
        <f t="shared" si="12"/>
        <v>318800000</v>
      </c>
      <c r="K108" s="32">
        <f>K107+K106</f>
        <v>4542815767.310688</v>
      </c>
      <c r="L108" s="30" t="s">
        <v>142</v>
      </c>
      <c r="M108" s="58" t="s">
        <v>147</v>
      </c>
      <c r="N108" s="55">
        <f>N105</f>
        <v>0.14607007089777674</v>
      </c>
    </row>
    <row r="109" spans="1:14" ht="19" x14ac:dyDescent="0.25">
      <c r="G109" s="66" t="s">
        <v>148</v>
      </c>
      <c r="H109" s="66"/>
    </row>
    <row r="110" spans="1:14" ht="20" x14ac:dyDescent="0.25">
      <c r="G110" s="59" t="s">
        <v>149</v>
      </c>
      <c r="H110" s="50">
        <f>NPV(N108,G108,H108,I108,J108,K108)</f>
        <v>2790275597.6788707</v>
      </c>
    </row>
    <row r="111" spans="1:14" ht="20" x14ac:dyDescent="0.25">
      <c r="G111" s="59" t="s">
        <v>150</v>
      </c>
      <c r="H111" s="50">
        <f>F40</f>
        <v>228199000</v>
      </c>
    </row>
    <row r="112" spans="1:14" ht="20" x14ac:dyDescent="0.25">
      <c r="G112" s="59" t="s">
        <v>138</v>
      </c>
      <c r="H112" s="50">
        <f>N99</f>
        <v>19824000</v>
      </c>
    </row>
    <row r="113" spans="7:8" ht="20" x14ac:dyDescent="0.25">
      <c r="G113" s="59" t="s">
        <v>151</v>
      </c>
      <c r="H113" s="50">
        <f>H110+H111-H112</f>
        <v>2998650597.6788707</v>
      </c>
    </row>
    <row r="114" spans="7:8" ht="20" x14ac:dyDescent="0.25">
      <c r="G114" s="59" t="s">
        <v>156</v>
      </c>
      <c r="H114" s="59">
        <f>F34*(1+(L16*4))</f>
        <v>107498098.33493128</v>
      </c>
    </row>
    <row r="115" spans="7:8" ht="20" x14ac:dyDescent="0.25">
      <c r="G115" s="60" t="s">
        <v>152</v>
      </c>
      <c r="H115" s="61">
        <f>H113/H114</f>
        <v>27.894917622970315</v>
      </c>
    </row>
    <row r="116" spans="7:8" ht="20" x14ac:dyDescent="0.25">
      <c r="G116" s="59" t="s">
        <v>153</v>
      </c>
      <c r="H116" s="62" cm="1">
        <f t="array" ref="H116">_FV(A1,"Price")</f>
        <v>42.24</v>
      </c>
    </row>
    <row r="117" spans="7:8" ht="20" x14ac:dyDescent="0.25">
      <c r="G117" s="60" t="s">
        <v>154</v>
      </c>
      <c r="H117" s="63">
        <f>H115/H116-1</f>
        <v>-0.3396089577895286</v>
      </c>
    </row>
    <row r="118" spans="7:8" ht="20" x14ac:dyDescent="0.25">
      <c r="G118" s="60" t="s">
        <v>155</v>
      </c>
      <c r="H118" s="64" t="str">
        <f>IF(H115&gt;H116,"BUY","SELL")</f>
        <v>SELL</v>
      </c>
    </row>
  </sheetData>
  <mergeCells count="6">
    <mergeCell ref="G109:H109"/>
    <mergeCell ref="M83:N83"/>
    <mergeCell ref="M84:N84"/>
    <mergeCell ref="M93:N93"/>
    <mergeCell ref="M98:N98"/>
    <mergeCell ref="M104:N104"/>
  </mergeCells>
  <hyperlinks>
    <hyperlink ref="A1" r:id="rId1" tooltip="https://roic.ai/company/GLBE" display="ROIC.AI | GLBE"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sec.gov" xr:uid="{00000000-0004-0000-0000-00000A000000}"/>
    <hyperlink ref="E74" r:id="rId9" tooltip="https://sec.gov" xr:uid="{00000000-0004-0000-0000-00000B000000}"/>
    <hyperlink ref="F36" r:id="rId10" tooltip="https://sec.gov" xr:uid="{00000000-0004-0000-0000-00000D000000}"/>
    <hyperlink ref="F74" r:id="rId11" tooltip="https://sec.gov" xr:uid="{00000000-0004-0000-0000-00000E000000}"/>
    <hyperlink ref="G1" r:id="rId12" display="https://finbox.com/NASDAQGS:GLBE/explorer/revenue_proj" xr:uid="{C0434844-80A7-6B42-92EC-6EAE982712E4}"/>
    <hyperlink ref="L106" r:id="rId13" xr:uid="{8258D5EF-5D6F-6A43-8219-F56043C9B7F4}"/>
  </hyperlinks>
  <pageMargins left="0.7" right="0.7" top="0.75" bottom="0.75" header="0.3" footer="0.3"/>
  <drawing r:id="rId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cp:lastModifiedBy>
  <dcterms:created xsi:type="dcterms:W3CDTF">2023-03-14T04:14:24Z</dcterms:created>
  <dcterms:modified xsi:type="dcterms:W3CDTF">2023-07-29T04:48:32Z</dcterms:modified>
</cp:coreProperties>
</file>