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3BF586A-5567-AC4E-BF1D-5FE7F32DB5F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9" i="1" l="1"/>
  <c r="Y94" i="1"/>
  <c r="R108" i="1" l="1"/>
  <c r="S108" i="1"/>
  <c r="T108" i="1"/>
  <c r="U108" i="1"/>
  <c r="R105" i="1"/>
  <c r="S105" i="1" s="1"/>
  <c r="T105" i="1" s="1"/>
  <c r="U105" i="1" s="1"/>
  <c r="V105" i="1" s="1"/>
  <c r="Z22" i="1"/>
  <c r="B105" i="1"/>
  <c r="C105" i="1"/>
  <c r="D105" i="1"/>
  <c r="E105" i="1"/>
  <c r="F105" i="1"/>
  <c r="G105" i="1"/>
  <c r="H105" i="1"/>
  <c r="I105" i="1"/>
  <c r="J105" i="1"/>
  <c r="K105" i="1"/>
  <c r="L105" i="1"/>
  <c r="M105" i="1"/>
  <c r="N105" i="1"/>
  <c r="O105" i="1"/>
  <c r="P105" i="1"/>
  <c r="Q105" i="1"/>
  <c r="Y22" i="1"/>
  <c r="S30" i="1" l="1"/>
  <c r="T30" i="1"/>
  <c r="U30" i="1"/>
  <c r="V30" i="1"/>
  <c r="R30" i="1"/>
  <c r="R29" i="1"/>
  <c r="S29" i="1"/>
  <c r="T29" i="1"/>
  <c r="U29" i="1"/>
  <c r="V29" i="1"/>
  <c r="S21" i="1"/>
  <c r="T21" i="1"/>
  <c r="U21" i="1"/>
  <c r="V21" i="1"/>
  <c r="R21" i="1"/>
  <c r="R20" i="1"/>
  <c r="S20" i="1"/>
  <c r="T20" i="1"/>
  <c r="U20" i="1"/>
  <c r="V20" i="1"/>
  <c r="P13" i="1"/>
  <c r="Q13" i="1"/>
  <c r="S116" i="1" a="1"/>
  <c r="S116" i="1" s="1"/>
  <c r="Y101" i="1" a="1"/>
  <c r="Y101"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Y4" i="1"/>
  <c r="X4" i="1"/>
  <c r="W4" i="1"/>
  <c r="V4" i="1"/>
  <c r="U4" i="1"/>
  <c r="Y106" i="1" s="1"/>
  <c r="T4" i="1"/>
  <c r="S4" i="1"/>
  <c r="R4" i="1"/>
  <c r="P9" i="1"/>
  <c r="Q9" i="1"/>
  <c r="P20" i="1"/>
  <c r="Q20" i="1"/>
  <c r="P29" i="1"/>
  <c r="Q29" i="1"/>
  <c r="P35" i="1"/>
  <c r="Q35" i="1"/>
  <c r="P89" i="1"/>
  <c r="Q89" i="1"/>
  <c r="P80" i="1"/>
  <c r="Q80" i="1"/>
  <c r="P106" i="1"/>
  <c r="Q106" i="1"/>
  <c r="Z4" i="1" s="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92" i="1"/>
  <c r="S112" i="1"/>
  <c r="X19" i="1" l="1"/>
  <c r="Y19" i="1"/>
  <c r="Y103" i="1"/>
  <c r="Y100" i="1" s="1"/>
  <c r="Y16" i="1"/>
  <c r="X16" i="1"/>
  <c r="Z16" i="1"/>
  <c r="Y102" i="1" l="1"/>
  <c r="Y105" i="1" s="1"/>
  <c r="Y108" i="1" s="1"/>
  <c r="V107" i="1" s="1"/>
  <c r="V108" i="1" s="1"/>
  <c r="S110" i="1" l="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<sst xmlns="http://schemas.openxmlformats.org/spreadsheetml/2006/main" count="611" uniqueCount="167">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</sst>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164" fontId="10" fillId="7" borderId="0" xfId="0" applyNumberFormat="1" applyFont="1" applyFill="1"/>
    <xf numFmtId="164" fontId="1" fillId="7" borderId="0" xfId="0" applyNumberFormat="1" applyFont="1" applyFill="1"/>
    <xf numFmtId="164" fontId="13" fillId="0" borderId="2" xfId="0" applyNumberFormat="1" applyFont="1" applyBorder="1"/>
    <xf numFmtId="165" fontId="10" fillId="0" borderId="0" xfId="0" applyNumberFormat="1" applyFont="1"/>
    <xf numFmtId="165" fontId="10" fillId="0" borderId="10" xfId="0" applyNumberFormat="1" applyFont="1" applyBorder="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ServiceNow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073089700996662E-2"/>
          <c:y val="0.14371731594775142"/>
          <c:w val="0.83815282392026591"/>
          <c:h val="0.6496639195610752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D627-2549-8115-C634DEE3F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1'!$B$28:$Q$28</c:f>
              <c:numCache>
                <c:formatCode>#,###,,;\(#,###,,\);\ \-\ \-</c:formatCode>
                <c:ptCount val="16"/>
                <c:pt idx="0">
                  <c:v>-4000000</c:v>
                </c:pt>
                <c:pt idx="1">
                  <c:v>-5900000</c:v>
                </c:pt>
                <c:pt idx="2">
                  <c:v>-5900000</c:v>
                </c:pt>
                <c:pt idx="3">
                  <c:v>-29705000</c:v>
                </c:pt>
                <c:pt idx="4">
                  <c:v>9830000</c:v>
                </c:pt>
                <c:pt idx="5">
                  <c:v>-37348000</c:v>
                </c:pt>
                <c:pt idx="6">
                  <c:v>-73708000</c:v>
                </c:pt>
                <c:pt idx="7">
                  <c:v>-179387000</c:v>
                </c:pt>
                <c:pt idx="8">
                  <c:v>-198426000</c:v>
                </c:pt>
                <c:pt idx="9">
                  <c:v>-451804000</c:v>
                </c:pt>
                <c:pt idx="10">
                  <c:v>-149130000</c:v>
                </c:pt>
                <c:pt idx="11">
                  <c:v>-26704000</c:v>
                </c:pt>
                <c:pt idx="12">
                  <c:v>626698000</c:v>
                </c:pt>
                <c:pt idx="13">
                  <c:v>118503000</c:v>
                </c:pt>
                <c:pt idx="14">
                  <c:v>230000000</c:v>
                </c:pt>
                <c:pt idx="15">
                  <c:v>325000000</c:v>
                </c:pt>
              </c:numCache>
            </c:numRef>
          </c:val>
          <c:extLst>
            <c:ext xmlns:c16="http://schemas.microsoft.com/office/drawing/2014/chart" uri="{C3380CC4-5D6E-409C-BE32-E72D297353CC}">
              <c16:uniqueId val="{00000001-D627-2549-8115-C634DEE3F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1'!$B$107:$Q$107</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D627-2549-8115-C634DEE3FDDE}"/>
            </c:ext>
          </c:extLst>
        </c:ser>
        <c:dLbls>
          <c:showLegendKey val="0"/>
          <c:showVal val="0"/>
          <c:showCatName val="0"/>
          <c:showSerName val="0"/>
          <c:showPercent val="0"/>
          <c:showBubbleSize val="0"/>
        </c:dLbls>
        <c:gapWidth val="100"/>
        <c:overlap val="-24"/>
        <c:axId val="1010723727"/>
        <c:axId val="1020560399"/>
      </c:barChart>
      <c:catAx>
        <c:axId val="10107237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20560399"/>
        <c:crosses val="autoZero"/>
        <c:auto val="1"/>
        <c:lblAlgn val="ctr"/>
        <c:lblOffset val="100"/>
        <c:noMultiLvlLbl val="0"/>
      </c:catAx>
      <c:valAx>
        <c:axId val="10205603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10723727"/>
        <c:crosses val="autoZero"/>
        <c:crossBetween val="between"/>
      </c:valAx>
      <c:spPr>
        <a:noFill/>
        <a:ln>
          <a:noFill/>
        </a:ln>
        <a:effectLst/>
      </c:spPr>
    </c:plotArea>
    <c:legend>
      <c:legendPos val="b"/>
      <c:layout>
        <c:manualLayout>
          <c:xMode val="edge"/>
          <c:yMode val="edge"/>
          <c:x val="0.34498579538022861"/>
          <c:y val="0.8935903675305894"/>
          <c:w val="0.31534402385748295"/>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108</xdr:row>
      <xdr:rowOff>25400</xdr:rowOff>
    </xdr:from>
    <xdr:to>
      <xdr:col>24</xdr:col>
      <xdr:colOff>1571625</xdr:colOff>
      <xdr:row>127</xdr:row>
      <xdr:rowOff>0</xdr:rowOff>
    </xdr:to>
    <xdr:graphicFrame macro="">
      <xdr:nvGraphicFramePr>
        <xdr:cNvPr id="3" name="Chart 2">
          <a:extLst>
            <a:ext uri="{FF2B5EF4-FFF2-40B4-BE49-F238E27FC236}">
              <a16:creationId xmlns:a16="http://schemas.microsoft.com/office/drawing/2014/main" id="{988546E8-A38E-3DF9-A0FE-5081B0AE5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576.67999999999995</v>
    <v>337</v>
    <v>1.0207999999999999</v>
    <v>12.62</v>
    <v>2.2821999999999999E-2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565.85</v>
    <v>Software &amp; IT Services</v>
    <v>Stock</v>
    <v>45117.999827522654</v>
    <v>0</v>
    <v>553</v>
    <v>115235400560</v>
    <v>SERVICENOW, INC.</v>
    <v>SERVICENOW, INC.</v>
    <v>553</v>
    <v>288.32429999999999</v>
    <v>552.98</v>
    <v>565.6</v>
    <v>203740100</v>
    <v>NOW</v>
    <v>SERVICENOW, INC. (XNYS:NOW)</v>
    <v>138</v>
    <v>1249515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hyperlink" Target="https://finbox.com/NYSE:NOW/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P2" activePane="bottomRight" state="frozen"/>
      <selection pane="topRight"/>
      <selection pane="bottomLeft"/>
      <selection pane="bottomRight" activeCell="T16" sqref="T16"/>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3">
        <v>2023</v>
      </c>
      <c r="S1" s="23">
        <v>2024</v>
      </c>
      <c r="T1" s="23">
        <v>2025</v>
      </c>
      <c r="U1" s="23">
        <v>2026</v>
      </c>
      <c r="V1" s="23">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4">
        <v>8903000000</v>
      </c>
      <c r="S3" s="24">
        <v>10820000000</v>
      </c>
      <c r="T3" s="24">
        <v>13112000000</v>
      </c>
      <c r="U3" s="24">
        <v>15736000000</v>
      </c>
      <c r="V3" s="24">
        <v>18565000000</v>
      </c>
      <c r="W3" s="18" t="s">
        <v>107</v>
      </c>
      <c r="X3" s="19" t="s">
        <v>108</v>
      </c>
      <c r="Y3" s="19" t="s">
        <v>109</v>
      </c>
      <c r="Z3" s="19" t="s">
        <v>110</v>
      </c>
    </row>
    <row r="4" spans="1:26" ht="19" x14ac:dyDescent="0.25">
      <c r="A4" s="14" t="s">
        <v>93</v>
      </c>
      <c r="B4" s="1"/>
      <c r="C4" s="63">
        <f>(C3/B3)-1</f>
        <v>3.6315789473684212</v>
      </c>
      <c r="D4" s="63">
        <f>(D3/C3)-1</f>
        <v>1.1931818181818183</v>
      </c>
      <c r="E4" s="63">
        <f>(E3/D3)-1</f>
        <v>1.2450259067357514</v>
      </c>
      <c r="F4" s="63">
        <f t="shared" ref="F4:V4" si="0">(F3/E3)-1</f>
        <v>1.138083039073138</v>
      </c>
      <c r="G4" s="63">
        <f t="shared" si="0"/>
        <v>1.6307142625835214</v>
      </c>
      <c r="H4" s="63">
        <f t="shared" si="0"/>
        <v>0.74242548581932777</v>
      </c>
      <c r="I4" s="63">
        <f t="shared" si="0"/>
        <v>0.60735429176969258</v>
      </c>
      <c r="J4" s="63">
        <f t="shared" si="0"/>
        <v>0.4730947912500385</v>
      </c>
      <c r="K4" s="63">
        <f t="shared" si="0"/>
        <v>0.38293451883677454</v>
      </c>
      <c r="L4" s="63">
        <f t="shared" si="0"/>
        <v>0.39015313053527723</v>
      </c>
      <c r="M4" s="63">
        <f t="shared" si="0"/>
        <v>0.34960212640699084</v>
      </c>
      <c r="N4" s="63">
        <f t="shared" si="0"/>
        <v>0.32643965691716081</v>
      </c>
      <c r="O4" s="63">
        <f t="shared" si="0"/>
        <v>0.306044294405591</v>
      </c>
      <c r="P4" s="63">
        <f t="shared" si="0"/>
        <v>0.30457370797197192</v>
      </c>
      <c r="Q4" s="63">
        <f t="shared" si="0"/>
        <v>0.22879918588873815</v>
      </c>
      <c r="R4" s="16">
        <f t="shared" si="0"/>
        <v>0.22884748102139407</v>
      </c>
      <c r="S4" s="16">
        <f t="shared" si="0"/>
        <v>0.21532067842300351</v>
      </c>
      <c r="T4" s="16">
        <f t="shared" si="0"/>
        <v>0.211829944547135</v>
      </c>
      <c r="U4" s="16">
        <f t="shared" si="0"/>
        <v>0.20012202562538128</v>
      </c>
      <c r="V4" s="16">
        <f t="shared" si="0"/>
        <v>0.17977885104219626</v>
      </c>
      <c r="W4" s="17">
        <f>(Q4+P4+O4)/3</f>
        <v>0.27980572942210036</v>
      </c>
      <c r="X4" s="17">
        <f>(Q20+P20+O20)/3</f>
        <v>0.35623712562905463</v>
      </c>
      <c r="Y4" s="17">
        <f>(Q29+P29+O29)/3</f>
        <v>0.18100456316116176</v>
      </c>
      <c r="Z4" s="17">
        <f>(Q106+P106+O106)/3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111</v>
      </c>
      <c r="X6" s="19" t="s">
        <v>112</v>
      </c>
      <c r="Y6" s="19" t="s">
        <v>113</v>
      </c>
      <c r="Z6" s="19" t="s">
        <v>114</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Q107/Q3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94</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95</v>
      </c>
      <c r="X9" s="19" t="s">
        <v>96</v>
      </c>
      <c r="Y9" s="19" t="s">
        <v>97</v>
      </c>
      <c r="Z9" s="19" t="s">
        <v>98</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91</v>
      </c>
      <c r="C11" s="1" t="s">
        <v>91</v>
      </c>
      <c r="D11" s="1" t="s">
        <v>91</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115</v>
      </c>
      <c r="X12" s="19" t="s">
        <v>116</v>
      </c>
      <c r="Y12" s="19" t="s">
        <v>117</v>
      </c>
      <c r="Z12" s="19" t="s">
        <v>118</v>
      </c>
    </row>
    <row r="13" spans="1:26" ht="19" x14ac:dyDescent="0.25">
      <c r="A13" s="14" t="s">
        <v>99</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91</v>
      </c>
      <c r="F14" s="1" t="s">
        <v>91</v>
      </c>
      <c r="G14" s="1" t="s">
        <v>91</v>
      </c>
      <c r="H14" s="1" t="s">
        <v>91</v>
      </c>
      <c r="I14" s="1" t="s">
        <v>91</v>
      </c>
      <c r="J14" s="1" t="s">
        <v>91</v>
      </c>
      <c r="K14" s="1" t="s">
        <v>91</v>
      </c>
      <c r="L14" s="1" t="s">
        <v>91</v>
      </c>
      <c r="M14" s="1" t="s">
        <v>91</v>
      </c>
      <c r="N14" s="1" t="s">
        <v>91</v>
      </c>
      <c r="O14" s="1" t="s">
        <v>91</v>
      </c>
      <c r="P14" s="1" t="s">
        <v>91</v>
      </c>
      <c r="Q14" s="1" t="s">
        <v>91</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119</v>
      </c>
      <c r="X15" s="19" t="s">
        <v>120</v>
      </c>
      <c r="Y15" s="19" t="s">
        <v>121</v>
      </c>
      <c r="Z15" s="19" t="s">
        <v>122</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5">
        <f>(Q35+P35+O35+N35+M35)/5</f>
        <v>3.5956121281664088E-2</v>
      </c>
      <c r="X16" s="37">
        <f>Y101/Q3</f>
        <v>15.905507323671497</v>
      </c>
      <c r="Y16" s="37">
        <f>Y101/Q28</f>
        <v>354.57046326153846</v>
      </c>
      <c r="Z16" s="38">
        <f>Y101/Q107</f>
        <v>53.030557091578466</v>
      </c>
    </row>
    <row r="17" spans="1:26" ht="19" x14ac:dyDescent="0.25">
      <c r="A17" s="5" t="s">
        <v>12</v>
      </c>
      <c r="B17" s="1">
        <v>200000</v>
      </c>
      <c r="C17" s="1" t="s">
        <v>91</v>
      </c>
      <c r="D17" s="1" t="s">
        <v>91</v>
      </c>
      <c r="E17" s="1">
        <v>1226000</v>
      </c>
      <c r="F17" s="1" t="s">
        <v>91</v>
      </c>
      <c r="G17" s="1">
        <v>1604000</v>
      </c>
      <c r="H17" s="1">
        <v>4930000</v>
      </c>
      <c r="I17" s="1">
        <v>27501000</v>
      </c>
      <c r="J17" s="1">
        <v>29429000</v>
      </c>
      <c r="K17" s="1">
        <v>31493000</v>
      </c>
      <c r="L17" s="1">
        <v>50623000</v>
      </c>
      <c r="M17" s="1">
        <v>50071000</v>
      </c>
      <c r="N17" s="1">
        <v>31677000</v>
      </c>
      <c r="O17" s="1">
        <v>32746000</v>
      </c>
      <c r="P17" s="1">
        <v>28000000</v>
      </c>
      <c r="Q17" s="1">
        <v>27000000</v>
      </c>
    </row>
    <row r="18" spans="1:26" ht="20" x14ac:dyDescent="0.25">
      <c r="A18" s="5" t="s">
        <v>13</v>
      </c>
      <c r="B18" s="1" t="s">
        <v>91</v>
      </c>
      <c r="C18" s="1" t="s">
        <v>91</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156</v>
      </c>
      <c r="X18" s="19" t="s">
        <v>157</v>
      </c>
      <c r="Y18" s="19" t="s">
        <v>158</v>
      </c>
      <c r="Z18" s="19" t="s">
        <v>159</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32">
        <v>2906000000</v>
      </c>
      <c r="S19" s="32">
        <v>3622000000</v>
      </c>
      <c r="T19" s="32">
        <v>4566000000</v>
      </c>
      <c r="U19" s="32">
        <v>6267000000</v>
      </c>
      <c r="V19" s="32">
        <v>7858000000</v>
      </c>
      <c r="W19" s="28">
        <f>Q40-Q56-Q61</f>
        <v>2048000000</v>
      </c>
      <c r="X19" s="37">
        <f>Y101/R3</f>
        <v>12.943434860159497</v>
      </c>
      <c r="Y19" s="37">
        <f>Y101/R28</f>
        <v>55.939514834951453</v>
      </c>
      <c r="Z19" s="38">
        <f>Y101/R106</f>
        <v>43.966196322014497</v>
      </c>
    </row>
    <row r="20" spans="1:26" ht="19" customHeight="1" x14ac:dyDescent="0.25">
      <c r="A20" s="14" t="s">
        <v>100</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2.3830034924330619</v>
      </c>
      <c r="S20" s="16">
        <f t="shared" ref="S20" si="7">(S19/R19)-1</f>
        <v>0.24638678596008257</v>
      </c>
      <c r="T20" s="16">
        <f t="shared" ref="T20" si="8">(T19/S19)-1</f>
        <v>0.26062948647156259</v>
      </c>
      <c r="U20" s="16">
        <f t="shared" ref="U20" si="9">(U19/T19)-1</f>
        <v>0.37253613666228635</v>
      </c>
      <c r="V20" s="16">
        <f t="shared" ref="V20" si="10">(V19/U19)-1</f>
        <v>0.25386947502792401</v>
      </c>
    </row>
    <row r="21" spans="1:26" ht="20"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34">
        <f>R19/R3</f>
        <v>0.32640682915871055</v>
      </c>
      <c r="S21" s="34">
        <f t="shared" ref="S21:V21" si="11">S19/S3</f>
        <v>0.33475046210720888</v>
      </c>
      <c r="T21" s="34">
        <f t="shared" si="11"/>
        <v>0.34823062843197072</v>
      </c>
      <c r="U21" s="34">
        <f t="shared" si="11"/>
        <v>0.39825876970005086</v>
      </c>
      <c r="V21" s="34">
        <f t="shared" si="11"/>
        <v>0.42326959332076486</v>
      </c>
      <c r="Y21" s="18" t="s">
        <v>160</v>
      </c>
      <c r="Z21" s="19" t="s">
        <v>161</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c r="Y22" s="39">
        <f>(-1*Q98)/Y101</f>
        <v>0</v>
      </c>
      <c r="Z22" s="40">
        <f>Q107/Y101</f>
        <v>1.8857052515460097E-2</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91</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91</v>
      </c>
      <c r="C27" s="1" t="s">
        <v>91</v>
      </c>
      <c r="D27" s="1" t="s">
        <v>91</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35">
        <v>2060000000</v>
      </c>
      <c r="S28" s="35">
        <v>2537000000</v>
      </c>
      <c r="T28" s="35">
        <v>3140000000</v>
      </c>
      <c r="U28" s="35">
        <v>3875000000</v>
      </c>
      <c r="V28" s="35">
        <v>4454000000</v>
      </c>
    </row>
    <row r="29" spans="1:26" ht="20" customHeight="1" thickTop="1" x14ac:dyDescent="0.25">
      <c r="A29" s="14" t="s">
        <v>101</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5.3384615384615381</v>
      </c>
      <c r="S29" s="16">
        <f t="shared" ref="S29" si="16">(S28/R28)-1</f>
        <v>0.23155339805825248</v>
      </c>
      <c r="T29" s="16">
        <f t="shared" ref="T29" si="17">(T28/S28)-1</f>
        <v>0.23768230193141515</v>
      </c>
      <c r="U29" s="16">
        <f t="shared" ref="U29" si="18">(U28/T28)-1</f>
        <v>0.234076433121019</v>
      </c>
      <c r="V29" s="16">
        <f t="shared" ref="V29" si="19">(V28/U28)-1</f>
        <v>0.14941935483870972</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33">
        <f>R28/R3</f>
        <v>0.23138267999550713</v>
      </c>
      <c r="S30" s="33">
        <f t="shared" ref="S30:V30" si="20">S28/S3</f>
        <v>0.23447319778188538</v>
      </c>
      <c r="T30" s="33">
        <f t="shared" si="20"/>
        <v>0.23947528981086028</v>
      </c>
      <c r="U30" s="33">
        <f t="shared" si="20"/>
        <v>0.24625063548551093</v>
      </c>
      <c r="V30" s="33">
        <f t="shared" si="20"/>
        <v>0.2399138163210342</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36">
        <v>10.11</v>
      </c>
      <c r="S31" s="36">
        <v>12.45</v>
      </c>
      <c r="T31" s="36">
        <v>15.41</v>
      </c>
      <c r="U31" s="36">
        <v>19.02</v>
      </c>
      <c r="V31" s="36">
        <v>21.86</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102</v>
      </c>
      <c r="B35" s="1"/>
      <c r="C35" s="22">
        <f>(C34-B34)/B34</f>
        <v>0</v>
      </c>
      <c r="D35" s="22">
        <f t="shared" ref="D35:O35" si="21">(D34-C34)/C34</f>
        <v>0</v>
      </c>
      <c r="E35" s="22">
        <f t="shared" si="21"/>
        <v>-0.79115891936824601</v>
      </c>
      <c r="F35" s="22">
        <f t="shared" si="21"/>
        <v>0</v>
      </c>
      <c r="G35" s="22">
        <f t="shared" si="21"/>
        <v>1.9418030836526416</v>
      </c>
      <c r="H35" s="22">
        <f t="shared" si="21"/>
        <v>0.8322056188539062</v>
      </c>
      <c r="I35" s="22">
        <f t="shared" si="21"/>
        <v>7.34015775070989E-2</v>
      </c>
      <c r="J35" s="22">
        <f t="shared" si="21"/>
        <v>7.1212282561525703E-2</v>
      </c>
      <c r="K35" s="22">
        <f t="shared" si="21"/>
        <v>5.6691094419137916E-2</v>
      </c>
      <c r="L35" s="22">
        <f t="shared" si="21"/>
        <v>4.0367104336960551E-2</v>
      </c>
      <c r="M35" s="22">
        <f t="shared" si="21"/>
        <v>3.8968444663107518E-2</v>
      </c>
      <c r="N35" s="22">
        <f t="shared" si="21"/>
        <v>0.10895367055804223</v>
      </c>
      <c r="O35" s="22">
        <f t="shared" si="21"/>
        <v>2.6644965343798645E-2</v>
      </c>
      <c r="P35" s="22">
        <f t="shared" ref="P35" si="22">(P34-O34)/O34</f>
        <v>2.5780578630764826E-3</v>
      </c>
      <c r="Q35" s="22">
        <f t="shared" ref="Q35" si="23">(Q34-P34)/P34</f>
        <v>2.6354679802955664E-3</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t="s">
        <v>91</v>
      </c>
      <c r="C38" s="1" t="s">
        <v>91</v>
      </c>
      <c r="D38" s="1" t="s">
        <v>91</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91</v>
      </c>
      <c r="C39" s="1" t="s">
        <v>91</v>
      </c>
      <c r="D39" s="1" t="s">
        <v>91</v>
      </c>
      <c r="E39" s="1" t="s">
        <v>91</v>
      </c>
      <c r="F39" s="1" t="s">
        <v>91</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91</v>
      </c>
      <c r="C40" s="1" t="s">
        <v>91</v>
      </c>
      <c r="D40" s="1" t="s">
        <v>91</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91</v>
      </c>
      <c r="C41" s="1" t="s">
        <v>91</v>
      </c>
      <c r="D41" s="1" t="s">
        <v>91</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7" ht="19" x14ac:dyDescent="0.25">
      <c r="A43" s="5" t="s">
        <v>35</v>
      </c>
      <c r="B43" s="1" t="s">
        <v>91</v>
      </c>
      <c r="C43" s="1" t="s">
        <v>91</v>
      </c>
      <c r="D43" s="1" t="s">
        <v>91</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91</v>
      </c>
      <c r="C44" s="10" t="s">
        <v>91</v>
      </c>
      <c r="D44" s="10" t="s">
        <v>91</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91</v>
      </c>
      <c r="C45" s="1" t="s">
        <v>91</v>
      </c>
      <c r="D45" s="1" t="s">
        <v>91</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91</v>
      </c>
      <c r="C46" s="1" t="s">
        <v>91</v>
      </c>
      <c r="D46" s="1" t="s">
        <v>91</v>
      </c>
      <c r="E46" s="1" t="s">
        <v>91</v>
      </c>
      <c r="F46" s="1" t="s">
        <v>91</v>
      </c>
      <c r="G46" s="1" t="s">
        <v>91</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91</v>
      </c>
      <c r="C47" s="1" t="s">
        <v>91</v>
      </c>
      <c r="D47" s="1" t="s">
        <v>91</v>
      </c>
      <c r="E47" s="1" t="s">
        <v>91</v>
      </c>
      <c r="F47" s="1" t="s">
        <v>91</v>
      </c>
      <c r="G47" s="1" t="s">
        <v>91</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91</v>
      </c>
      <c r="C48" s="1" t="s">
        <v>91</v>
      </c>
      <c r="D48" s="1" t="s">
        <v>91</v>
      </c>
      <c r="E48" s="1" t="s">
        <v>91</v>
      </c>
      <c r="F48" s="1" t="s">
        <v>91</v>
      </c>
      <c r="G48" s="1" t="s">
        <v>91</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91</v>
      </c>
      <c r="C49" s="1" t="s">
        <v>91</v>
      </c>
      <c r="D49" s="1" t="s">
        <v>91</v>
      </c>
      <c r="E49" s="1" t="s">
        <v>91</v>
      </c>
      <c r="F49" s="1" t="s">
        <v>91</v>
      </c>
      <c r="G49" s="1" t="s">
        <v>91</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599633000</v>
      </c>
      <c r="O50" s="1">
        <v>673111000</v>
      </c>
      <c r="P50" s="1">
        <v>692000000</v>
      </c>
      <c r="Q50" s="1">
        <v>636000000</v>
      </c>
    </row>
    <row r="51" spans="1:17" ht="19" x14ac:dyDescent="0.25">
      <c r="A51" s="5" t="s">
        <v>43</v>
      </c>
      <c r="B51" s="1" t="s">
        <v>91</v>
      </c>
      <c r="C51" s="1" t="s">
        <v>91</v>
      </c>
      <c r="D51" s="1" t="s">
        <v>91</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91</v>
      </c>
      <c r="C52" s="1" t="s">
        <v>91</v>
      </c>
      <c r="D52" s="1" t="s">
        <v>91</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t="s">
        <v>91</v>
      </c>
      <c r="C54" s="11" t="s">
        <v>91</v>
      </c>
      <c r="D54" s="11" t="s">
        <v>91</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91</v>
      </c>
      <c r="C55" s="1" t="s">
        <v>91</v>
      </c>
      <c r="D55" s="1" t="s">
        <v>91</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91</v>
      </c>
      <c r="C56" s="1" t="s">
        <v>91</v>
      </c>
      <c r="D56" s="1" t="s">
        <v>91</v>
      </c>
      <c r="E56" s="1" t="s">
        <v>91</v>
      </c>
      <c r="F56" s="1" t="s">
        <v>91</v>
      </c>
      <c r="G56" s="1" t="s">
        <v>91</v>
      </c>
      <c r="H56" s="1" t="s">
        <v>91</v>
      </c>
      <c r="I56" s="1" t="s">
        <v>91</v>
      </c>
      <c r="J56" s="1" t="s">
        <v>91</v>
      </c>
      <c r="K56" s="1" t="s">
        <v>91</v>
      </c>
      <c r="L56" s="1">
        <v>543418000</v>
      </c>
      <c r="M56" s="1" t="s">
        <v>91</v>
      </c>
      <c r="N56" s="1">
        <v>52668000</v>
      </c>
      <c r="O56" s="1">
        <v>72236000</v>
      </c>
      <c r="P56" s="1">
        <v>174000000</v>
      </c>
      <c r="Q56" s="1">
        <v>96000000</v>
      </c>
    </row>
    <row r="57" spans="1:17" ht="19" x14ac:dyDescent="0.25">
      <c r="A57" s="5" t="s">
        <v>49</v>
      </c>
      <c r="B57" s="1" t="s">
        <v>91</v>
      </c>
      <c r="C57" s="1" t="s">
        <v>91</v>
      </c>
      <c r="D57" s="1" t="s">
        <v>91</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91</v>
      </c>
    </row>
    <row r="58" spans="1:17" ht="19" x14ac:dyDescent="0.25">
      <c r="A58" s="5" t="s">
        <v>50</v>
      </c>
      <c r="B58" s="1" t="s">
        <v>91</v>
      </c>
      <c r="C58" s="1" t="s">
        <v>91</v>
      </c>
      <c r="D58" s="1" t="s">
        <v>91</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91</v>
      </c>
      <c r="C59" s="1" t="s">
        <v>91</v>
      </c>
      <c r="D59" s="1" t="s">
        <v>91</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91</v>
      </c>
      <c r="C60" s="10" t="s">
        <v>91</v>
      </c>
      <c r="D60" s="10" t="s">
        <v>91</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91</v>
      </c>
      <c r="C61" s="1" t="s">
        <v>91</v>
      </c>
      <c r="D61" s="1" t="s">
        <v>91</v>
      </c>
      <c r="E61" s="1" t="s">
        <v>91</v>
      </c>
      <c r="F61" s="1" t="s">
        <v>91</v>
      </c>
      <c r="G61" s="1" t="s">
        <v>91</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91</v>
      </c>
      <c r="C62" s="1" t="s">
        <v>91</v>
      </c>
      <c r="D62" s="1" t="s">
        <v>91</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row>
    <row r="64" spans="1:17" ht="19" x14ac:dyDescent="0.25">
      <c r="A64" s="5" t="s">
        <v>55</v>
      </c>
      <c r="B64" s="1" t="s">
        <v>91</v>
      </c>
      <c r="C64" s="1" t="s">
        <v>91</v>
      </c>
      <c r="D64" s="1" t="s">
        <v>91</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91</v>
      </c>
      <c r="C65" s="1" t="s">
        <v>91</v>
      </c>
      <c r="D65" s="1" t="s">
        <v>91</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t="s">
        <v>91</v>
      </c>
      <c r="C67" s="10" t="s">
        <v>91</v>
      </c>
      <c r="D67" s="10" t="s">
        <v>91</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91</v>
      </c>
      <c r="C68" s="1" t="s">
        <v>91</v>
      </c>
      <c r="D68" s="1" t="s">
        <v>91</v>
      </c>
      <c r="E68" s="1">
        <v>16000</v>
      </c>
      <c r="F68" s="1">
        <v>21000</v>
      </c>
      <c r="G68" s="1">
        <v>126000</v>
      </c>
      <c r="H68" s="1">
        <v>140000</v>
      </c>
      <c r="I68" s="1">
        <v>150000</v>
      </c>
      <c r="J68" s="1">
        <v>160000</v>
      </c>
      <c r="K68" s="1">
        <v>167000</v>
      </c>
      <c r="L68" s="1">
        <v>174000</v>
      </c>
      <c r="M68" s="1">
        <v>180000</v>
      </c>
      <c r="N68" s="1">
        <v>189000</v>
      </c>
      <c r="O68" s="1">
        <v>196000</v>
      </c>
      <c r="P68" s="1" t="s">
        <v>91</v>
      </c>
      <c r="Q68" s="1" t="s">
        <v>91</v>
      </c>
    </row>
    <row r="69" spans="1:17" ht="19" x14ac:dyDescent="0.25">
      <c r="A69" s="5" t="s">
        <v>60</v>
      </c>
      <c r="B69" s="1" t="s">
        <v>91</v>
      </c>
      <c r="C69" s="1" t="s">
        <v>91</v>
      </c>
      <c r="D69" s="1" t="s">
        <v>91</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91</v>
      </c>
      <c r="C70" s="1" t="s">
        <v>91</v>
      </c>
      <c r="D70" s="1" t="s">
        <v>91</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91</v>
      </c>
      <c r="C71" s="1" t="s">
        <v>91</v>
      </c>
      <c r="D71" s="1" t="s">
        <v>91</v>
      </c>
      <c r="E71" s="1" t="s">
        <v>91</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91</v>
      </c>
      <c r="C72" s="10" t="s">
        <v>91</v>
      </c>
      <c r="D72" s="10" t="s">
        <v>91</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91</v>
      </c>
      <c r="C73" s="11" t="s">
        <v>91</v>
      </c>
      <c r="D73" s="11" t="s">
        <v>91</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t="s">
        <v>91</v>
      </c>
      <c r="C76" s="1" t="s">
        <v>91</v>
      </c>
      <c r="D76" s="1">
        <v>-5900000</v>
      </c>
      <c r="E76" s="1">
        <v>-29705000</v>
      </c>
      <c r="F76" s="1" t="s">
        <v>91</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91</v>
      </c>
      <c r="C77" s="1" t="s">
        <v>91</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91</v>
      </c>
      <c r="C78" s="1" t="s">
        <v>91</v>
      </c>
      <c r="D78" s="1" t="s">
        <v>91</v>
      </c>
      <c r="E78" s="1" t="s">
        <v>91</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91</v>
      </c>
      <c r="C79" s="1" t="s">
        <v>91</v>
      </c>
      <c r="D79" s="1" t="s">
        <v>91</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103</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91</v>
      </c>
      <c r="C81" s="1" t="s">
        <v>91</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91</v>
      </c>
      <c r="C82" s="1" t="s">
        <v>91</v>
      </c>
      <c r="D82" s="1" t="s">
        <v>91</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X83" s="65" t="s">
        <v>123</v>
      </c>
      <c r="Y83" s="66"/>
    </row>
    <row r="84" spans="1:25" ht="19" x14ac:dyDescent="0.25">
      <c r="A84" s="5" t="s">
        <v>47</v>
      </c>
      <c r="B84" s="1" t="s">
        <v>91</v>
      </c>
      <c r="C84" s="1" t="s">
        <v>91</v>
      </c>
      <c r="D84" s="1" t="s">
        <v>91</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67" t="s">
        <v>124</v>
      </c>
      <c r="Y84" s="67"/>
    </row>
    <row r="85" spans="1:25" ht="20" x14ac:dyDescent="0.25">
      <c r="A85" s="5" t="s">
        <v>71</v>
      </c>
      <c r="B85" s="1" t="s">
        <v>91</v>
      </c>
      <c r="C85" s="1" t="s">
        <v>91</v>
      </c>
      <c r="D85" s="1" t="s">
        <v>91</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91</v>
      </c>
      <c r="X85" s="42" t="s">
        <v>125</v>
      </c>
      <c r="Y85" s="43">
        <f>Q17</f>
        <v>27000000</v>
      </c>
    </row>
    <row r="86" spans="1:25" ht="20" x14ac:dyDescent="0.25">
      <c r="A86" s="5" t="s">
        <v>72</v>
      </c>
      <c r="B86" s="1" t="s">
        <v>91</v>
      </c>
      <c r="C86" s="1" t="s">
        <v>91</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91</v>
      </c>
      <c r="X86" s="42" t="s">
        <v>126</v>
      </c>
      <c r="Y86" s="43">
        <f>Q56</f>
        <v>96000000</v>
      </c>
    </row>
    <row r="87" spans="1:25" ht="20" x14ac:dyDescent="0.25">
      <c r="A87" s="6" t="s">
        <v>73</v>
      </c>
      <c r="B87" s="10" t="s">
        <v>91</v>
      </c>
      <c r="C87" s="10" t="s">
        <v>91</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42" t="s">
        <v>127</v>
      </c>
      <c r="Y87" s="43">
        <f>Q61</f>
        <v>2136000000</v>
      </c>
    </row>
    <row r="88" spans="1:25" ht="20" x14ac:dyDescent="0.25">
      <c r="A88" s="5" t="s">
        <v>74</v>
      </c>
      <c r="B88" s="1" t="s">
        <v>91</v>
      </c>
      <c r="C88" s="1" t="s">
        <v>91</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44" t="s">
        <v>128</v>
      </c>
      <c r="Y88" s="45">
        <f>Y85/(Y86+Y87)</f>
        <v>1.2096774193548387E-2</v>
      </c>
    </row>
    <row r="89" spans="1:25" ht="20" customHeight="1" x14ac:dyDescent="0.25">
      <c r="A89" s="14" t="s">
        <v>104</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X89" s="42" t="s">
        <v>105</v>
      </c>
      <c r="Y89" s="43">
        <f>Q27</f>
        <v>74000000</v>
      </c>
    </row>
    <row r="90" spans="1:25" ht="20" x14ac:dyDescent="0.25">
      <c r="A90" s="5" t="s">
        <v>75</v>
      </c>
      <c r="B90" s="1" t="s">
        <v>91</v>
      </c>
      <c r="C90" s="1" t="s">
        <v>91</v>
      </c>
      <c r="D90" s="1" t="s">
        <v>91</v>
      </c>
      <c r="E90" s="1" t="s">
        <v>91</v>
      </c>
      <c r="F90" s="1" t="s">
        <v>91</v>
      </c>
      <c r="G90" s="1" t="s">
        <v>91</v>
      </c>
      <c r="H90" s="1">
        <v>-13330000</v>
      </c>
      <c r="I90" s="1">
        <v>-99813000</v>
      </c>
      <c r="J90" s="1">
        <v>-1100000</v>
      </c>
      <c r="K90" s="1">
        <v>-34297000</v>
      </c>
      <c r="L90" s="1">
        <v>-58203000</v>
      </c>
      <c r="M90" s="1">
        <v>-37440000</v>
      </c>
      <c r="N90" s="1">
        <v>-7414000</v>
      </c>
      <c r="O90" s="1">
        <v>-107236000</v>
      </c>
      <c r="P90" s="1">
        <v>-785000000</v>
      </c>
      <c r="Q90" s="1">
        <v>-91000000</v>
      </c>
      <c r="X90" s="42" t="s">
        <v>19</v>
      </c>
      <c r="Y90" s="43">
        <f>Q25</f>
        <v>399000000</v>
      </c>
    </row>
    <row r="91" spans="1:25" ht="20" x14ac:dyDescent="0.25">
      <c r="A91" s="5" t="s">
        <v>76</v>
      </c>
      <c r="B91" s="1" t="s">
        <v>91</v>
      </c>
      <c r="C91" s="1" t="s">
        <v>91</v>
      </c>
      <c r="D91" s="1" t="s">
        <v>91</v>
      </c>
      <c r="E91" s="1" t="s">
        <v>91</v>
      </c>
      <c r="F91" s="1" t="s">
        <v>91</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44" t="s">
        <v>129</v>
      </c>
      <c r="Y91" s="45">
        <f>Y89/Y90</f>
        <v>0.18546365914786966</v>
      </c>
    </row>
    <row r="92" spans="1:25" ht="20" x14ac:dyDescent="0.25">
      <c r="A92" s="5" t="s">
        <v>77</v>
      </c>
      <c r="B92" s="1" t="s">
        <v>91</v>
      </c>
      <c r="C92" s="1" t="s">
        <v>91</v>
      </c>
      <c r="D92" s="1" t="s">
        <v>91</v>
      </c>
      <c r="E92" s="1" t="s">
        <v>91</v>
      </c>
      <c r="F92" s="1" t="s">
        <v>91</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44" t="s">
        <v>130</v>
      </c>
      <c r="Y92" s="45">
        <f>Y88*(1-Y91)</f>
        <v>9.853262187727382E-3</v>
      </c>
    </row>
    <row r="93" spans="1:25" ht="19" customHeight="1" x14ac:dyDescent="0.25">
      <c r="A93" s="5" t="s">
        <v>78</v>
      </c>
      <c r="B93" s="1" t="s">
        <v>91</v>
      </c>
      <c r="C93" s="1" t="s">
        <v>91</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67" t="s">
        <v>131</v>
      </c>
      <c r="Y93" s="67"/>
    </row>
    <row r="94" spans="1:25" ht="20" x14ac:dyDescent="0.25">
      <c r="A94" s="6" t="s">
        <v>79</v>
      </c>
      <c r="B94" s="10" t="s">
        <v>91</v>
      </c>
      <c r="C94" s="10" t="s">
        <v>91</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42" t="s">
        <v>132</v>
      </c>
      <c r="Y94" s="46">
        <f>[1]Treasuries!$C$8</f>
        <v>3.9120000000000002E-2</v>
      </c>
    </row>
    <row r="95" spans="1:25" ht="20" x14ac:dyDescent="0.25">
      <c r="A95" s="5" t="s">
        <v>80</v>
      </c>
      <c r="B95" s="1" t="s">
        <v>91</v>
      </c>
      <c r="C95" s="1" t="s">
        <v>91</v>
      </c>
      <c r="D95" s="1" t="s">
        <v>91</v>
      </c>
      <c r="E95" s="1" t="s">
        <v>91</v>
      </c>
      <c r="F95" s="1" t="s">
        <v>91</v>
      </c>
      <c r="G95" s="1" t="s">
        <v>91</v>
      </c>
      <c r="H95" s="1" t="s">
        <v>91</v>
      </c>
      <c r="I95" s="1" t="s">
        <v>91</v>
      </c>
      <c r="J95" s="1">
        <v>-223000</v>
      </c>
      <c r="K95" s="1">
        <v>-2223000</v>
      </c>
      <c r="L95" s="1">
        <v>-4918000</v>
      </c>
      <c r="M95" s="1">
        <v>-430578000</v>
      </c>
      <c r="N95" s="1">
        <v>-9000</v>
      </c>
      <c r="O95" s="1">
        <v>-1627690000</v>
      </c>
      <c r="P95" s="1">
        <v>-61000000</v>
      </c>
      <c r="Q95" s="1">
        <v>-94000000</v>
      </c>
      <c r="X95" s="42" t="s">
        <v>133</v>
      </c>
      <c r="Y95" s="47" cm="1">
        <f t="array" ref="Y95">_FV(A1,"Beta")</f>
        <v>1.0207999999999999</v>
      </c>
    </row>
    <row r="96" spans="1:25" ht="20" x14ac:dyDescent="0.25">
      <c r="A96" s="5" t="s">
        <v>81</v>
      </c>
      <c r="B96" s="1" t="s">
        <v>91</v>
      </c>
      <c r="C96" s="1" t="s">
        <v>91</v>
      </c>
      <c r="D96" s="1" t="s">
        <v>91</v>
      </c>
      <c r="E96" s="1" t="s">
        <v>91</v>
      </c>
      <c r="F96" s="1" t="s">
        <v>91</v>
      </c>
      <c r="G96" s="1">
        <v>238193000</v>
      </c>
      <c r="H96" s="1" t="s">
        <v>91</v>
      </c>
      <c r="I96" s="1" t="s">
        <v>91</v>
      </c>
      <c r="J96" s="1" t="s">
        <v>91</v>
      </c>
      <c r="K96" s="1" t="s">
        <v>91</v>
      </c>
      <c r="L96" s="1" t="s">
        <v>91</v>
      </c>
      <c r="M96" s="1" t="s">
        <v>91</v>
      </c>
      <c r="N96" s="1" t="s">
        <v>91</v>
      </c>
      <c r="O96" s="1" t="s">
        <v>91</v>
      </c>
      <c r="P96" s="1" t="s">
        <v>91</v>
      </c>
      <c r="Q96" s="1" t="s">
        <v>91</v>
      </c>
      <c r="X96" s="42" t="s">
        <v>134</v>
      </c>
      <c r="Y96" s="46">
        <v>8.4000000000000005E-2</v>
      </c>
    </row>
    <row r="97" spans="1:25" ht="20" x14ac:dyDescent="0.25">
      <c r="A97" s="5" t="s">
        <v>82</v>
      </c>
      <c r="B97" s="1" t="s">
        <v>91</v>
      </c>
      <c r="C97" s="1" t="s">
        <v>91</v>
      </c>
      <c r="D97" s="1">
        <v>3700000</v>
      </c>
      <c r="E97" s="1">
        <v>-20814000</v>
      </c>
      <c r="F97" s="1" t="s">
        <v>91</v>
      </c>
      <c r="G97" s="1">
        <v>-1960000</v>
      </c>
      <c r="H97" s="1" t="s">
        <v>91</v>
      </c>
      <c r="I97" s="1" t="s">
        <v>91</v>
      </c>
      <c r="J97" s="1" t="s">
        <v>91</v>
      </c>
      <c r="K97" s="1" t="s">
        <v>91</v>
      </c>
      <c r="L97" s="1">
        <v>-55000000</v>
      </c>
      <c r="M97" s="1" t="s">
        <v>91</v>
      </c>
      <c r="N97" s="1" t="s">
        <v>91</v>
      </c>
      <c r="O97" s="1" t="s">
        <v>91</v>
      </c>
      <c r="P97" s="1" t="s">
        <v>91</v>
      </c>
      <c r="Q97" s="1" t="s">
        <v>91</v>
      </c>
      <c r="X97" s="44" t="s">
        <v>135</v>
      </c>
      <c r="Y97" s="45">
        <f>(Y94)+((Y95)*(Y96-Y94))</f>
        <v>8.4933503999999993E-2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v>0</v>
      </c>
      <c r="X98" s="67" t="s">
        <v>136</v>
      </c>
      <c r="Y98" s="67"/>
    </row>
    <row r="99" spans="1:25" ht="20" x14ac:dyDescent="0.25">
      <c r="A99" s="5" t="s">
        <v>84</v>
      </c>
      <c r="B99" s="1" t="s">
        <v>91</v>
      </c>
      <c r="C99" s="1" t="s">
        <v>91</v>
      </c>
      <c r="D99" s="1" t="s">
        <v>91</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42" t="s">
        <v>137</v>
      </c>
      <c r="Y99" s="43">
        <f>Y86+Y87</f>
        <v>2232000000</v>
      </c>
    </row>
    <row r="100" spans="1:25" ht="20" x14ac:dyDescent="0.25">
      <c r="A100" s="6" t="s">
        <v>85</v>
      </c>
      <c r="B100" s="10" t="s">
        <v>91</v>
      </c>
      <c r="C100" s="10" t="s">
        <v>91</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44" t="s">
        <v>138</v>
      </c>
      <c r="Y100" s="45">
        <f>Y99/Y103</f>
        <v>1.9001016361641025E-2</v>
      </c>
    </row>
    <row r="101" spans="1:25" ht="20" x14ac:dyDescent="0.25">
      <c r="A101" s="5" t="s">
        <v>86</v>
      </c>
      <c r="B101" s="1" t="s">
        <v>91</v>
      </c>
      <c r="C101" s="1" t="s">
        <v>91</v>
      </c>
      <c r="D101" s="1" t="s">
        <v>91</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42" t="s">
        <v>139</v>
      </c>
      <c r="Y101" s="48" cm="1">
        <f t="array" ref="Y101">_FV(A1,"Market cap",TRUE)</f>
        <v>115235400560</v>
      </c>
    </row>
    <row r="102" spans="1:25" ht="20" x14ac:dyDescent="0.25">
      <c r="A102" s="6" t="s">
        <v>87</v>
      </c>
      <c r="B102" s="10" t="s">
        <v>91</v>
      </c>
      <c r="C102" s="10" t="s">
        <v>91</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44" t="s">
        <v>140</v>
      </c>
      <c r="Y102" s="45">
        <f>Y101/Y103</f>
        <v>0.98099898363835902</v>
      </c>
    </row>
    <row r="103" spans="1:25" ht="20" x14ac:dyDescent="0.25">
      <c r="A103" s="5" t="s">
        <v>88</v>
      </c>
      <c r="B103" s="1" t="s">
        <v>91</v>
      </c>
      <c r="C103" s="1" t="s">
        <v>91</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44" t="s">
        <v>141</v>
      </c>
      <c r="Y103" s="49">
        <f>Y99+Y101</f>
        <v>117467400560</v>
      </c>
    </row>
    <row r="104" spans="1:25" ht="20" customHeight="1" thickBot="1" x14ac:dyDescent="0.3">
      <c r="A104" s="7" t="s">
        <v>89</v>
      </c>
      <c r="B104" s="11" t="s">
        <v>91</v>
      </c>
      <c r="C104" s="11" t="s">
        <v>91</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67" t="s">
        <v>142</v>
      </c>
      <c r="Y104" s="67"/>
    </row>
    <row r="105" spans="1:25" ht="21" thickTop="1" x14ac:dyDescent="0.25">
      <c r="A105" s="14" t="s">
        <v>162</v>
      </c>
      <c r="B105" s="1" t="e">
        <f t="shared" ref="B105:P105" si="26">(B22*(1-$Y$91))+B77+B88+B81</f>
        <v>#VALUE!</v>
      </c>
      <c r="C105" s="1" t="e">
        <f t="shared" si="26"/>
        <v>#VALUE!</v>
      </c>
      <c r="D105" s="1">
        <f t="shared" si="26"/>
        <v>475689.22305764444</v>
      </c>
      <c r="E105" s="1">
        <f t="shared" si="26"/>
        <v>-5880110.2756892219</v>
      </c>
      <c r="F105" s="1">
        <f t="shared" si="26"/>
        <v>20607503.759398498</v>
      </c>
      <c r="G105" s="1">
        <f t="shared" si="26"/>
        <v>-29959533.834586471</v>
      </c>
      <c r="H105" s="1">
        <f t="shared" si="26"/>
        <v>-55713879.69924812</v>
      </c>
      <c r="I105" s="1">
        <f t="shared" si="26"/>
        <v>-94795125.313283205</v>
      </c>
      <c r="J105" s="1">
        <f t="shared" si="26"/>
        <v>-60721338.345864654</v>
      </c>
      <c r="K105" s="1">
        <f t="shared" si="26"/>
        <v>-270643481.20300752</v>
      </c>
      <c r="L105" s="1">
        <f t="shared" si="26"/>
        <v>6088611.5288220495</v>
      </c>
      <c r="M105" s="1">
        <f t="shared" si="26"/>
        <v>31338481.203007519</v>
      </c>
      <c r="N105" s="1">
        <f t="shared" si="26"/>
        <v>99886714.285714269</v>
      </c>
      <c r="O105" s="1">
        <f t="shared" si="26"/>
        <v>360509140.35087717</v>
      </c>
      <c r="P105" s="1">
        <f t="shared" si="26"/>
        <v>347335839.59899747</v>
      </c>
      <c r="Q105" s="1">
        <f>(Q22*(1-$Y$91))+Q77+Q88+Q81</f>
        <v>721160401.00250626</v>
      </c>
      <c r="R105" s="29">
        <f>Q105*(1+$N$106)</f>
        <v>1152353077.701787</v>
      </c>
      <c r="S105" s="29">
        <f t="shared" ref="S105:V105" si="27">R105*(1+$N$106)</f>
        <v>1841362356.8942547</v>
      </c>
      <c r="T105" s="29">
        <f t="shared" si="27"/>
        <v>2942340672.3131161</v>
      </c>
      <c r="U105" s="29">
        <f t="shared" si="27"/>
        <v>4701610521.9778719</v>
      </c>
      <c r="V105" s="29">
        <f t="shared" si="27"/>
        <v>7512774339.279726</v>
      </c>
      <c r="W105" s="26" t="s">
        <v>165</v>
      </c>
      <c r="X105" s="50" t="s">
        <v>106</v>
      </c>
      <c r="Y105" s="51">
        <f>(Y100*Y92)+(Y102*Y97)</f>
        <v>8.3506903096889046E-2</v>
      </c>
    </row>
    <row r="106" spans="1:25" ht="19" x14ac:dyDescent="0.25">
      <c r="A106" s="14" t="s">
        <v>163</v>
      </c>
      <c r="B106" s="1"/>
      <c r="C106" s="15" t="e">
        <f t="shared" ref="C106:Q106" si="28">(C107/B107)-1</f>
        <v>#VALUE!</v>
      </c>
      <c r="D106" s="15" t="e">
        <f t="shared" si="28"/>
        <v>#VALUE!</v>
      </c>
      <c r="E106" s="15">
        <f t="shared" si="28"/>
        <v>90.16</v>
      </c>
      <c r="F106" s="15">
        <f t="shared" si="28"/>
        <v>-4.1521500658183417</v>
      </c>
      <c r="G106" s="15">
        <f t="shared" si="28"/>
        <v>-0.76683487036714804</v>
      </c>
      <c r="H106" s="15">
        <f t="shared" si="28"/>
        <v>2.9440298507462686</v>
      </c>
      <c r="I106" s="15">
        <f t="shared" si="28"/>
        <v>2.1985241248817409</v>
      </c>
      <c r="J106" s="15">
        <f t="shared" si="28"/>
        <v>1.6722353024692089</v>
      </c>
      <c r="K106" s="15">
        <f t="shared" si="28"/>
        <v>-0.84234038785088106</v>
      </c>
      <c r="L106" s="15">
        <f t="shared" si="28"/>
        <v>12.638265607009464</v>
      </c>
      <c r="M106" s="15">
        <f t="shared" si="28"/>
        <v>0.15769131773208822</v>
      </c>
      <c r="N106" s="15">
        <f t="shared" si="28"/>
        <v>0.59791507700626267</v>
      </c>
      <c r="O106" s="15">
        <f t="shared" si="28"/>
        <v>0.50723014812036182</v>
      </c>
      <c r="P106" s="15">
        <f t="shared" si="28"/>
        <v>0.32340582032698162</v>
      </c>
      <c r="Q106" s="15">
        <f t="shared" si="28"/>
        <v>0.21261160714285721</v>
      </c>
      <c r="R106" s="30">
        <v>2621000000</v>
      </c>
      <c r="S106" s="30">
        <v>3220000000</v>
      </c>
      <c r="T106" s="30">
        <v>4093000000</v>
      </c>
      <c r="U106" s="30">
        <v>5601000000</v>
      </c>
      <c r="V106" s="30">
        <v>7008000000</v>
      </c>
      <c r="W106" s="26" t="s">
        <v>166</v>
      </c>
      <c r="X106" s="52" t="s">
        <v>143</v>
      </c>
      <c r="Y106" s="53">
        <f>(SUM(R4:V4)/5)</f>
        <v>0.20717979613182202</v>
      </c>
    </row>
    <row r="107" spans="1:25" ht="19" x14ac:dyDescent="0.25">
      <c r="A107" s="41" t="s">
        <v>164</v>
      </c>
      <c r="B107" s="1" t="s">
        <v>91</v>
      </c>
      <c r="C107" s="1" t="s">
        <v>91</v>
      </c>
      <c r="D107" s="1">
        <v>-100000</v>
      </c>
      <c r="E107" s="1">
        <v>-9116000</v>
      </c>
      <c r="F107" s="1">
        <v>28735000</v>
      </c>
      <c r="G107" s="1">
        <v>6700000</v>
      </c>
      <c r="H107" s="1">
        <v>26425000</v>
      </c>
      <c r="I107" s="1">
        <v>84521000</v>
      </c>
      <c r="J107" s="1">
        <v>225860000</v>
      </c>
      <c r="K107" s="1">
        <v>35609000</v>
      </c>
      <c r="L107" s="1">
        <v>485645000</v>
      </c>
      <c r="M107" s="1">
        <v>562227000</v>
      </c>
      <c r="N107" s="1">
        <v>898391000</v>
      </c>
      <c r="O107" s="1">
        <v>1354082000</v>
      </c>
      <c r="P107" s="1">
        <v>1792000000</v>
      </c>
      <c r="Q107" s="1">
        <v>2173000000</v>
      </c>
      <c r="R107" s="26"/>
      <c r="S107" s="26"/>
      <c r="T107" s="26"/>
      <c r="U107" s="26"/>
      <c r="V107" s="31">
        <f>V106*(1+Y107)/(Y108-Y107)</f>
        <v>122775255906.20345</v>
      </c>
      <c r="W107" s="27" t="s">
        <v>144</v>
      </c>
      <c r="X107" s="54" t="s">
        <v>145</v>
      </c>
      <c r="Y107" s="55">
        <v>2.5000000000000001E-2</v>
      </c>
    </row>
    <row r="108" spans="1:25" ht="19" x14ac:dyDescent="0.25">
      <c r="R108" s="31">
        <f t="shared" ref="R108:U108" si="29">R107+R106</f>
        <v>2621000000</v>
      </c>
      <c r="S108" s="31">
        <f t="shared" si="29"/>
        <v>3220000000</v>
      </c>
      <c r="T108" s="31">
        <f t="shared" si="29"/>
        <v>4093000000</v>
      </c>
      <c r="U108" s="31">
        <f t="shared" si="29"/>
        <v>5601000000</v>
      </c>
      <c r="V108" s="31">
        <f>V107+V106</f>
        <v>129783255906.20345</v>
      </c>
      <c r="W108" s="27" t="s">
        <v>141</v>
      </c>
      <c r="X108" s="56" t="s">
        <v>146</v>
      </c>
      <c r="Y108" s="53">
        <f>Y105</f>
        <v>8.3506903096889046E-2</v>
      </c>
    </row>
    <row r="109" spans="1:25" ht="19" x14ac:dyDescent="0.25">
      <c r="R109" s="64" t="s">
        <v>147</v>
      </c>
      <c r="S109" s="64"/>
    </row>
    <row r="110" spans="1:25" ht="20" x14ac:dyDescent="0.25">
      <c r="R110" s="57" t="s">
        <v>148</v>
      </c>
      <c r="S110" s="48">
        <f>NPV(Y108,R108,S108,T108,U108,V108)</f>
        <v>99351455573.155045</v>
      </c>
    </row>
    <row r="111" spans="1:25" ht="20" x14ac:dyDescent="0.25">
      <c r="R111" s="57" t="s">
        <v>149</v>
      </c>
      <c r="S111" s="48">
        <f>Q40</f>
        <v>4280000000</v>
      </c>
    </row>
    <row r="112" spans="1:25" ht="20" x14ac:dyDescent="0.25">
      <c r="R112" s="57" t="s">
        <v>137</v>
      </c>
      <c r="S112" s="48">
        <f>Y99</f>
        <v>2232000000</v>
      </c>
    </row>
    <row r="113" spans="18:19" ht="20" x14ac:dyDescent="0.25">
      <c r="R113" s="57" t="s">
        <v>150</v>
      </c>
      <c r="S113" s="48">
        <f>S110+S111-S112</f>
        <v>101399455573.15504</v>
      </c>
    </row>
    <row r="114" spans="18:19" ht="20" x14ac:dyDescent="0.25">
      <c r="R114" s="57" t="s">
        <v>151</v>
      </c>
      <c r="S114" s="57">
        <f>Q34*(1+(5*W16))</f>
        <v>240126645.72531751</v>
      </c>
    </row>
    <row r="115" spans="18:19" ht="20" x14ac:dyDescent="0.25">
      <c r="R115" s="58" t="s">
        <v>152</v>
      </c>
      <c r="S115" s="59">
        <f>S113/S114</f>
        <v>422.2749010917621</v>
      </c>
    </row>
    <row r="116" spans="18:19" ht="20" x14ac:dyDescent="0.25">
      <c r="R116" s="57" t="s">
        <v>153</v>
      </c>
      <c r="S116" s="60" cm="1">
        <f t="array" ref="S116">_FV(A1,"Price")</f>
        <v>565.6</v>
      </c>
    </row>
    <row r="117" spans="18:19" ht="20" x14ac:dyDescent="0.25">
      <c r="R117" s="58" t="s">
        <v>154</v>
      </c>
      <c r="S117" s="61">
        <f>S115/S116-1</f>
        <v>-0.25340364021965689</v>
      </c>
    </row>
    <row r="118" spans="18:19" ht="20" x14ac:dyDescent="0.25">
      <c r="R118" s="58" t="s">
        <v>155</v>
      </c>
      <c r="S118" s="62"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 ref="W106" r:id="rId35" xr:uid="{0BC166D8-01B7-9F45-8E9B-43A4361487B3}"/>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2023-01-31T18:38:52Z</dcterms:created>
  <dcterms:modified xsi:type="dcterms:W3CDTF">2023-07-30T15:45:52Z</dcterms:modified>
</cp:coreProperties>
</file>