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88DB28E-5AD5-224F-80C3-A2AAF1F2EDA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8" i="1"/>
  <c r="H108" i="1"/>
  <c r="I108" i="1"/>
  <c r="J108" i="1"/>
  <c r="B105" i="1"/>
  <c r="C105" i="1"/>
  <c r="D105" i="1"/>
  <c r="E105" i="1"/>
  <c r="F105"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22" i="1" l="1"/>
  <c r="O22" i="1"/>
  <c r="N106" i="1"/>
  <c r="G105" i="1" s="1"/>
  <c r="H105" i="1" s="1"/>
  <c r="I105" i="1" s="1"/>
  <c r="J105" i="1" s="1"/>
  <c r="K105" i="1" s="1"/>
  <c r="M19" i="1"/>
  <c r="N103" i="1"/>
  <c r="N100" i="1" s="1"/>
  <c r="O16" i="1"/>
  <c r="N16" i="1"/>
  <c r="M16" i="1"/>
  <c r="O19" i="1" l="1"/>
  <c r="N102"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<sst xmlns="http://schemas.openxmlformats.org/spreadsheetml/2006/main" count="279" uniqueCount="167">
  <si>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</si>
  <si>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</si>
  <si>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</si>
  <si>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</si>
  <si>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</si>
  <si>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</si>
  <si>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</si>
  <si>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</si>
  <si>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</si>
  <si>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</si>
  <si>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</si>
  <si>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</si>
  <si>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</si>
  <si>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</si>
  <si>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</si>
  <si>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</si>
  <si>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</si>
  <si>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</si>
  <si>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</si>
  <si>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</si>
  <si>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</si>
  <si>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</si>
  <si>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</si>
  <si>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</si>
  <si>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</si>
  <si>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</si>
  <si>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</si>
  <si>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</si>
  <si>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</si>
  <si>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</si>
  <si>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</si>
  <si>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</si>
  <si>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</si>
  <si>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</si>
  <si>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</si>
  <si>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</si>
  <si>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</si>
  <si>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</si>
  <si>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</si>
  <si>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</si>
  <si>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</si>
  <si>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</si>
  <si>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</si>
  <si>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</si>
  <si>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</si>
  <si>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</si>
  <si>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</si>
  <si>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</si>
  <si>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</si>
  <si>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</si>
  <si>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</si>
  <si>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</si>
  <si>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</si>
  <si>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</si>
  <si>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</si>
  <si>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</si>
  <si>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</si>
  <si>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</si>
  <si>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</si>
  <si>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</si>
  <si>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</si>
  <si>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</si>
  <si>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</si>
  <si>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</si>
  <si>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</si>
  <si>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</si>
  <si>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</si>
  <si>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</si>
  <si>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</si>
  <si>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</si>
  <si>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</si>
  <si>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</si>
  <si>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</si>
  <si>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</si>
  <si>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</si>
  <si>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</si>
  <si>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</si>
  <si>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</si>
  <si>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</si>
  <si>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</si>
  <si>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</si>
  <si>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</si>
  <si>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</si>
  <si>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</si>
  <si>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</si>
  <si>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</si>
  <si>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</si>
  <si>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</si>
  <si>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</si>
  <si>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</si>
  <si>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</si>
  <si>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</si>
  <si>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</si>
  <si>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</si>
  <si>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</si>
  <si>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</si>
  <si>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</si>
  <si>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</si>
  <si>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</si>
  <si>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</si>
  <si>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</si>
  <si>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</si>
  <si>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</si>
  <si>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</si>
  <si>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</si>
  <si>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</si>
  <si>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</si>
  <si>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</si>
  <si>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</si>
  <si>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</si>
  <si>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</si>
  <si>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</si>
  <si>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</si>
  <si>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</si>
  <si>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</si>
  <si>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</si>
  <si>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</si>
  <si>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</si>
  <si>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</si>
  <si>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</si>
  <si>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</si>
  <si>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</si>
  <si>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</si>
  <si>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</si>
  <si>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</si>
  <si>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</si>
  <si>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</si>
  <si>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</si>
  <si>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</si>
  <si>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</si>
  <si>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</si>
  <si>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</si>
  <si>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</si>
  <si>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</si>
  <si>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</si>
  <si>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</si>
  <si>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</si>
  <si>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</si>
  <si>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</si>
  <si>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</si>
  <si>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</si>
  <si>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</si>
  <si>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</si>
  <si>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</si>
  <si>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</si>
  <si>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</si>
  <si>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</si>
  <si>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</si>
  <si>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</si>
  <si>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</si>
  <si>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</si>
  <si>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</si>
  <si>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</si>
  <si>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</si>
  <si>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</si>
  <si>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</si>
  <si>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</si>
  <si>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</si>
  <si>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</si>
  <si>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</si>
  <si>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</si>
  <si>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</si>
  <si>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</si>
  <si>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</si>
  <si>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Dividend Yield</t>
  </si>
  <si>
    <t>FCF Yield</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</si>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</sst>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p>
        </c:rich>
      </c:tx>
      <c:layout>
        <c:manualLayout>
          <c:xMode val="edge"/>
          <c:yMode val="edge"/>
          <c:x val="0.42892047765552488"/>
          <c:y val="2.50426863972680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5840021269787191"/>
          <c:w val="0.86385430463576174"/>
          <c:h val="0.6852599525675254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min val="-9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9525</xdr:rowOff>
    </xdr:from>
    <xdr:to>
      <xdr:col>14</xdr:col>
      <xdr:colOff>0</xdr:colOff>
      <xdr:row>124</xdr:row>
      <xdr:rowOff>15876</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1.607</v>
    <v>4.55</v>
    <v>2.6030000000000001E-2</v>
    <v>-4.84</v>
    <v>-2.6995000000000002E-2</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181.8</v>
    <v>Software &amp; IT Services</v>
    <v>Stock</v>
    <v>45132.976447476562</v>
    <v>0</v>
    <v>176.31</v>
    <v>58452711770</v>
    <v>SNOWFLAKE INC.</v>
    <v>SNOWFLAKE INC.</v>
    <v>177</v>
    <v>174.8</v>
    <v>179.35</v>
    <v>174.45</v>
    <v>325914200</v>
    <v>SNOW</v>
    <v>SNOWFLAKE INC. (XNYS:SNOW)</v>
    <v>3767866</v>
    <v>5909333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2" activePane="bottomRight" state="frozen"/>
      <selection pane="topRight"/>
      <selection pane="bottomLeft"/>
      <selection pane="bottomRight" activeCell="G123" sqref="G12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2753000000</v>
      </c>
      <c r="H3" s="25">
        <v>3637000000</v>
      </c>
      <c r="I3" s="25">
        <v>4767000000</v>
      </c>
      <c r="J3" s="25">
        <v>6664000000</v>
      </c>
      <c r="K3" s="25">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0.32110424990919006</v>
      </c>
      <c r="I4" s="16">
        <f t="shared" si="0"/>
        <v>0.3106956282650537</v>
      </c>
      <c r="J4" s="16">
        <f t="shared" si="0"/>
        <v>0.39794419970631423</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9">
        <f>N101/F3</f>
        <v>28.297367459972822</v>
      </c>
      <c r="N16" s="39">
        <f>N101/F28</f>
        <v>-73.368074469220105</v>
      </c>
      <c r="O16" s="40">
        <f>N101/F107</f>
        <v>117.72976737113267</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34">
        <v>238500000</v>
      </c>
      <c r="H19" s="34">
        <v>401200000</v>
      </c>
      <c r="I19" s="34">
        <v>646100000</v>
      </c>
      <c r="J19" s="34">
        <v>1006000000</v>
      </c>
      <c r="K19" s="34">
        <v>1742000000</v>
      </c>
      <c r="L19" s="27">
        <f>F40-F56-F61</f>
        <v>3756210000</v>
      </c>
      <c r="M19" s="39">
        <f>N101/G3</f>
        <v>21.232368968398109</v>
      </c>
      <c r="N19" s="39">
        <f>N101/G28</f>
        <v>267.64062165750914</v>
      </c>
      <c r="O19" s="40">
        <f>N101/G105</f>
        <v>-230.08995122286694</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0.61041874376869387</v>
      </c>
      <c r="J20" s="16">
        <f t="shared" ref="J20" si="7">(J19/I19)-1</f>
        <v>0.55703451478099364</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35">
        <f>G19/G3</f>
        <v>8.6632764257173991E-2</v>
      </c>
      <c r="H21" s="35">
        <f t="shared" ref="H21:K21" si="9">H19/H3</f>
        <v>0.11031069562826505</v>
      </c>
      <c r="I21" s="35">
        <f t="shared" si="9"/>
        <v>0.13553597650513949</v>
      </c>
      <c r="J21" s="35">
        <f t="shared" si="9"/>
        <v>0.15096038415366148</v>
      </c>
      <c r="K21" s="35">
        <f t="shared" si="9"/>
        <v>0.20234638169357649</v>
      </c>
      <c r="N21" s="19" t="s">
        <v>164</v>
      </c>
      <c r="O21" s="20" t="s">
        <v>165</v>
      </c>
    </row>
    <row r="22" spans="1:15" ht="19" x14ac:dyDescent="0.25">
      <c r="A22" s="6" t="s">
        <v>16</v>
      </c>
      <c r="B22" s="10">
        <v>-185465000</v>
      </c>
      <c r="C22" s="10">
        <v>-358088000</v>
      </c>
      <c r="D22" s="10">
        <v>-543937000</v>
      </c>
      <c r="E22" s="10">
        <v>-715036000</v>
      </c>
      <c r="F22" s="10">
        <v>-842267000</v>
      </c>
      <c r="N22" s="42">
        <f>(-1*F98)/N101</f>
        <v>0</v>
      </c>
      <c r="O22" s="43">
        <f>F107/N101</f>
        <v>8.4940285055315583E-3</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6">
        <v>218400000</v>
      </c>
      <c r="H28" s="36">
        <v>347100000</v>
      </c>
      <c r="I28" s="36">
        <v>562600000</v>
      </c>
      <c r="J28" s="36">
        <v>932100000</v>
      </c>
      <c r="K28" s="36">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-1.2741290691033695</v>
      </c>
      <c r="H29" s="16">
        <f t="shared" ref="H29" si="12">(H28/G28)-1</f>
        <v>0.58928571428571419</v>
      </c>
      <c r="I29" s="16">
        <f t="shared" ref="I29" si="13">(I28/H28)-1</f>
        <v>0.62085854220685688</v>
      </c>
      <c r="J29" s="16">
        <f t="shared" ref="J29" si="14">(J28/I28)-1</f>
        <v>0.65677212939921792</v>
      </c>
      <c r="K29" s="16">
        <f t="shared" ref="K29" si="15">(K28/J28)-1</f>
        <v>0.32281943997425167</v>
      </c>
    </row>
    <row r="30" spans="1:15" ht="19" x14ac:dyDescent="0.25">
      <c r="A30" s="5" t="s">
        <v>23</v>
      </c>
      <c r="B30" s="2">
        <v>-1.8416999999999999</v>
      </c>
      <c r="C30" s="2">
        <v>-1.3165</v>
      </c>
      <c r="D30" s="2">
        <v>-0.91059999999999997</v>
      </c>
      <c r="E30" s="2">
        <v>-0.55759999999999998</v>
      </c>
      <c r="F30" s="2">
        <v>-0.38569999999999999</v>
      </c>
      <c r="G30" s="37">
        <f>G28/G3</f>
        <v>7.9331638212858699E-2</v>
      </c>
      <c r="H30" s="37">
        <f t="shared" ref="H30:K30" si="16">H28/H3</f>
        <v>9.5435798735221331E-2</v>
      </c>
      <c r="I30" s="37">
        <f t="shared" si="16"/>
        <v>0.11801971890077617</v>
      </c>
      <c r="J30" s="37">
        <f t="shared" si="16"/>
        <v>0.13987094837935174</v>
      </c>
      <c r="K30" s="37">
        <f t="shared" si="16"/>
        <v>0.14322220931583227</v>
      </c>
    </row>
    <row r="31" spans="1:15" ht="19" x14ac:dyDescent="0.25">
      <c r="A31" s="5" t="s">
        <v>24</v>
      </c>
      <c r="B31" s="12">
        <v>-0.75</v>
      </c>
      <c r="C31" s="12">
        <v>-1.63</v>
      </c>
      <c r="D31" s="12">
        <v>-3.81</v>
      </c>
      <c r="E31" s="12">
        <v>-2.2599999999999998</v>
      </c>
      <c r="F31" s="12">
        <v>-2.5</v>
      </c>
      <c r="G31" s="38">
        <v>0.67</v>
      </c>
      <c r="H31" s="38">
        <v>1.07</v>
      </c>
      <c r="I31" s="38">
        <v>1.73</v>
      </c>
      <c r="J31" s="38">
        <v>2.86</v>
      </c>
      <c r="K31" s="38">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66" t="s">
        <v>123</v>
      </c>
      <c r="N83" s="67"/>
    </row>
    <row r="84" spans="1:14" ht="19" x14ac:dyDescent="0.25">
      <c r="A84" s="5" t="s">
        <v>47</v>
      </c>
      <c r="B84" s="1">
        <v>5170000</v>
      </c>
      <c r="C84" s="1">
        <v>1116000</v>
      </c>
      <c r="D84" s="1">
        <v>-2878000</v>
      </c>
      <c r="E84" s="1">
        <v>7371000</v>
      </c>
      <c r="F84" s="1">
        <v>8024000</v>
      </c>
      <c r="M84" s="68" t="s">
        <v>124</v>
      </c>
      <c r="N84" s="68"/>
    </row>
    <row r="85" spans="1:14" ht="20" x14ac:dyDescent="0.25">
      <c r="A85" s="5" t="s">
        <v>71</v>
      </c>
      <c r="B85" s="1">
        <v>43287000</v>
      </c>
      <c r="C85" s="1">
        <v>154366000</v>
      </c>
      <c r="D85" s="1">
        <v>261437000</v>
      </c>
      <c r="E85" s="1">
        <v>430344000</v>
      </c>
      <c r="F85" s="1" t="s">
        <v>91</v>
      </c>
      <c r="M85" s="44" t="s">
        <v>125</v>
      </c>
      <c r="N85" s="45">
        <f>F17</f>
        <v>73839000</v>
      </c>
    </row>
    <row r="86" spans="1:14" ht="20" x14ac:dyDescent="0.25">
      <c r="A86" s="5" t="s">
        <v>72</v>
      </c>
      <c r="B86" s="1">
        <v>4056000</v>
      </c>
      <c r="C86" s="1">
        <v>40715000</v>
      </c>
      <c r="D86" s="1">
        <v>75526000</v>
      </c>
      <c r="E86" s="1">
        <v>95107000</v>
      </c>
      <c r="F86" s="1" t="s">
        <v>91</v>
      </c>
      <c r="M86" s="44" t="s">
        <v>126</v>
      </c>
      <c r="N86" s="45">
        <f>F56</f>
        <v>27301000</v>
      </c>
    </row>
    <row r="87" spans="1:14" ht="20" x14ac:dyDescent="0.25">
      <c r="A87" s="6" t="s">
        <v>73</v>
      </c>
      <c r="B87" s="10">
        <v>-143982000</v>
      </c>
      <c r="C87" s="10">
        <v>-176558000</v>
      </c>
      <c r="D87" s="10">
        <v>-45417000</v>
      </c>
      <c r="E87" s="10">
        <v>110179000</v>
      </c>
      <c r="F87" s="10">
        <v>545639000</v>
      </c>
      <c r="M87" s="44" t="s">
        <v>127</v>
      </c>
      <c r="N87" s="45">
        <f>F61</f>
        <v>224357000</v>
      </c>
    </row>
    <row r="88" spans="1:14" ht="20" x14ac:dyDescent="0.25">
      <c r="A88" s="5" t="s">
        <v>74</v>
      </c>
      <c r="B88" s="1">
        <v>-4016000</v>
      </c>
      <c r="C88" s="1">
        <v>-22848000</v>
      </c>
      <c r="D88" s="1">
        <v>-35037000</v>
      </c>
      <c r="E88" s="1">
        <v>-16221000</v>
      </c>
      <c r="F88" s="1">
        <v>-25128000</v>
      </c>
      <c r="M88" s="46" t="s">
        <v>128</v>
      </c>
      <c r="N88" s="47">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44" t="s">
        <v>105</v>
      </c>
      <c r="N89" s="45">
        <f>F27</f>
        <v>18467000</v>
      </c>
    </row>
    <row r="90" spans="1:14" ht="20" x14ac:dyDescent="0.25">
      <c r="A90" s="5" t="s">
        <v>75</v>
      </c>
      <c r="B90" s="1" t="s">
        <v>91</v>
      </c>
      <c r="C90" s="1" t="s">
        <v>91</v>
      </c>
      <c r="D90" s="1">
        <v>-6035000</v>
      </c>
      <c r="E90" s="1" t="s">
        <v>91</v>
      </c>
      <c r="F90" s="1">
        <v>-362609000</v>
      </c>
      <c r="M90" s="44" t="s">
        <v>19</v>
      </c>
      <c r="N90" s="45">
        <f>F25</f>
        <v>-815993000</v>
      </c>
    </row>
    <row r="91" spans="1:14" ht="20" x14ac:dyDescent="0.25">
      <c r="A91" s="5" t="s">
        <v>76</v>
      </c>
      <c r="B91" s="1">
        <v>-738383000</v>
      </c>
      <c r="C91" s="1">
        <v>-622854000</v>
      </c>
      <c r="D91" s="1">
        <v>-4859852000</v>
      </c>
      <c r="E91" s="1">
        <v>-4250338000</v>
      </c>
      <c r="F91" s="1">
        <v>-3854886000</v>
      </c>
      <c r="M91" s="46" t="s">
        <v>129</v>
      </c>
      <c r="N91" s="47">
        <f>N89/N90</f>
        <v>-2.263132159221954E-2</v>
      </c>
    </row>
    <row r="92" spans="1:14" ht="20" x14ac:dyDescent="0.25">
      <c r="A92" s="5" t="s">
        <v>77</v>
      </c>
      <c r="B92" s="1">
        <v>379757000</v>
      </c>
      <c r="C92" s="1">
        <v>790511000</v>
      </c>
      <c r="D92" s="1">
        <v>877946000</v>
      </c>
      <c r="E92" s="1">
        <v>4282865000</v>
      </c>
      <c r="F92" s="1">
        <v>3715885000</v>
      </c>
      <c r="M92" s="46" t="s">
        <v>130</v>
      </c>
      <c r="N92" s="47">
        <f>N88*(1-N91)</f>
        <v>0.30005036261532675</v>
      </c>
    </row>
    <row r="93" spans="1:14" ht="19" x14ac:dyDescent="0.25">
      <c r="A93" s="5" t="s">
        <v>78</v>
      </c>
      <c r="B93" s="1" t="s">
        <v>91</v>
      </c>
      <c r="C93" s="1">
        <v>-6314000</v>
      </c>
      <c r="D93" s="1">
        <v>-13667000</v>
      </c>
      <c r="E93" s="1">
        <v>-37106000</v>
      </c>
      <c r="F93" s="1">
        <v>-71147000</v>
      </c>
      <c r="M93" s="68" t="s">
        <v>131</v>
      </c>
      <c r="N93" s="68"/>
    </row>
    <row r="94" spans="1:14" ht="20" x14ac:dyDescent="0.25">
      <c r="A94" s="6" t="s">
        <v>79</v>
      </c>
      <c r="B94" s="10">
        <v>-362642000</v>
      </c>
      <c r="C94" s="10">
        <v>138495000</v>
      </c>
      <c r="D94" s="10">
        <v>-4036645000</v>
      </c>
      <c r="E94" s="10">
        <v>-20800000</v>
      </c>
      <c r="F94" s="10">
        <v>-597885000</v>
      </c>
      <c r="M94" s="44" t="s">
        <v>132</v>
      </c>
      <c r="N94" s="48">
        <f>[1]Treasuries!$C$8</f>
        <v>3.9120000000000002E-2</v>
      </c>
    </row>
    <row r="95" spans="1:14" ht="20" x14ac:dyDescent="0.25">
      <c r="A95" s="5" t="s">
        <v>80</v>
      </c>
      <c r="B95" s="1" t="s">
        <v>91</v>
      </c>
      <c r="C95" s="1" t="s">
        <v>91</v>
      </c>
      <c r="D95" s="1" t="s">
        <v>91</v>
      </c>
      <c r="E95" s="1" t="s">
        <v>91</v>
      </c>
      <c r="F95" s="1" t="s">
        <v>91</v>
      </c>
      <c r="M95" s="44" t="s">
        <v>133</v>
      </c>
      <c r="N95" s="49" cm="1">
        <f t="array" ref="N95">_FV(A1,"Beta")</f>
        <v>1.607</v>
      </c>
    </row>
    <row r="96" spans="1:14" ht="20" x14ac:dyDescent="0.25">
      <c r="A96" s="5" t="s">
        <v>81</v>
      </c>
      <c r="B96" s="1" t="s">
        <v>91</v>
      </c>
      <c r="C96" s="1" t="s">
        <v>91</v>
      </c>
      <c r="D96" s="1">
        <v>4242284000</v>
      </c>
      <c r="E96" s="1" t="s">
        <v>91</v>
      </c>
      <c r="F96" s="1" t="s">
        <v>91</v>
      </c>
      <c r="M96" s="44" t="s">
        <v>134</v>
      </c>
      <c r="N96" s="48">
        <v>8.4000000000000005E-2</v>
      </c>
    </row>
    <row r="97" spans="1:14" ht="20" x14ac:dyDescent="0.25">
      <c r="A97" s="5" t="s">
        <v>82</v>
      </c>
      <c r="B97" s="1">
        <v>-29644000</v>
      </c>
      <c r="C97" s="1" t="s">
        <v>91</v>
      </c>
      <c r="D97" s="1" t="s">
        <v>91</v>
      </c>
      <c r="E97" s="1" t="s">
        <v>91</v>
      </c>
      <c r="F97" s="1" t="s">
        <v>91</v>
      </c>
      <c r="M97" s="46" t="s">
        <v>135</v>
      </c>
      <c r="N97" s="47">
        <f>(N94)+((N95)*(N96-N94))</f>
        <v>0.11124216000000001</v>
      </c>
    </row>
    <row r="98" spans="1:14" ht="19" x14ac:dyDescent="0.25">
      <c r="A98" s="5" t="s">
        <v>83</v>
      </c>
      <c r="B98" s="1" t="s">
        <v>91</v>
      </c>
      <c r="C98" s="1" t="s">
        <v>91</v>
      </c>
      <c r="D98" s="1" t="s">
        <v>91</v>
      </c>
      <c r="E98" s="1" t="s">
        <v>91</v>
      </c>
      <c r="F98" s="1">
        <v>0</v>
      </c>
      <c r="M98" s="68" t="s">
        <v>136</v>
      </c>
      <c r="N98" s="68"/>
    </row>
    <row r="99" spans="1:14" ht="20" x14ac:dyDescent="0.25">
      <c r="A99" s="5" t="s">
        <v>84</v>
      </c>
      <c r="B99" s="1">
        <v>443245000</v>
      </c>
      <c r="C99" s="1">
        <v>57469000</v>
      </c>
      <c r="D99" s="1">
        <v>533006000</v>
      </c>
      <c r="E99" s="1">
        <v>178198000</v>
      </c>
      <c r="F99" s="1">
        <v>-92624000</v>
      </c>
      <c r="M99" s="44" t="s">
        <v>137</v>
      </c>
      <c r="N99" s="45">
        <f>N86+N87</f>
        <v>251658000</v>
      </c>
    </row>
    <row r="100" spans="1:14" ht="20" x14ac:dyDescent="0.25">
      <c r="A100" s="6" t="s">
        <v>85</v>
      </c>
      <c r="B100" s="10">
        <v>413601000</v>
      </c>
      <c r="C100" s="10">
        <v>57469000</v>
      </c>
      <c r="D100" s="10">
        <v>4775290000</v>
      </c>
      <c r="E100" s="10">
        <v>178198000</v>
      </c>
      <c r="F100" s="10">
        <v>-92624000</v>
      </c>
      <c r="M100" s="46" t="s">
        <v>138</v>
      </c>
      <c r="N100" s="47">
        <f>N99/N103</f>
        <v>4.2868699721329111E-3</v>
      </c>
    </row>
    <row r="101" spans="1:14" ht="20" x14ac:dyDescent="0.25">
      <c r="A101" s="5" t="s">
        <v>86</v>
      </c>
      <c r="B101" s="1" t="s">
        <v>91</v>
      </c>
      <c r="C101" s="1" t="s">
        <v>91</v>
      </c>
      <c r="D101" s="1">
        <v>-11000</v>
      </c>
      <c r="E101" s="1">
        <v>-236000</v>
      </c>
      <c r="F101" s="1">
        <v>-933000</v>
      </c>
      <c r="M101" s="44" t="s">
        <v>139</v>
      </c>
      <c r="N101" s="50" cm="1">
        <f t="array" ref="N101">_FV(A1,"Market cap",TRUE)</f>
        <v>58452711770</v>
      </c>
    </row>
    <row r="102" spans="1:14" ht="20" x14ac:dyDescent="0.25">
      <c r="A102" s="6" t="s">
        <v>87</v>
      </c>
      <c r="B102" s="10">
        <v>-93023000</v>
      </c>
      <c r="C102" s="10">
        <v>19406000</v>
      </c>
      <c r="D102" s="10">
        <v>693217000</v>
      </c>
      <c r="E102" s="10">
        <v>267341000</v>
      </c>
      <c r="F102" s="10">
        <v>-145803000</v>
      </c>
      <c r="M102" s="46" t="s">
        <v>140</v>
      </c>
      <c r="N102" s="47">
        <f>N101/N103</f>
        <v>0.9957131300278671</v>
      </c>
    </row>
    <row r="103" spans="1:14" ht="20" x14ac:dyDescent="0.25">
      <c r="A103" s="5" t="s">
        <v>88</v>
      </c>
      <c r="B103" s="1">
        <v>215593000</v>
      </c>
      <c r="C103" s="1">
        <v>122570000</v>
      </c>
      <c r="D103" s="1">
        <v>141976000</v>
      </c>
      <c r="E103" s="1">
        <v>835193000</v>
      </c>
      <c r="F103" s="1">
        <v>1102534000</v>
      </c>
      <c r="L103" s="32"/>
      <c r="M103" s="46" t="s">
        <v>141</v>
      </c>
      <c r="N103" s="51">
        <f>N99+N101</f>
        <v>58704369770</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68" t="s">
        <v>142</v>
      </c>
      <c r="N104" s="68"/>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30">
        <f>F105*(1+$N$106)</f>
        <v>-254042870.88305843</v>
      </c>
      <c r="H105" s="30">
        <f t="shared" ref="H105:K105" si="21">G105*(1+$N$106)</f>
        <v>-338098412.58281857</v>
      </c>
      <c r="I105" s="30">
        <f t="shared" si="21"/>
        <v>-449965536.10686243</v>
      </c>
      <c r="J105" s="30">
        <f t="shared" si="21"/>
        <v>-598846300.80698919</v>
      </c>
      <c r="K105" s="30">
        <f t="shared" si="21"/>
        <v>-796987465.06898475</v>
      </c>
      <c r="L105" s="28" t="s">
        <v>162</v>
      </c>
      <c r="M105" s="52" t="s">
        <v>106</v>
      </c>
      <c r="N105" s="53">
        <f>(N100*N92)+(N102*N97)</f>
        <v>0.11205155621428405</v>
      </c>
    </row>
    <row r="106" spans="1:14" ht="19" x14ac:dyDescent="0.25">
      <c r="A106" s="14" t="s">
        <v>160</v>
      </c>
      <c r="B106" s="1"/>
      <c r="C106" s="15">
        <f>(C107/B107)-1</f>
        <v>0.34735604535196418</v>
      </c>
      <c r="D106" s="15">
        <f>(D107/C107)-1</f>
        <v>-0.5279931396246853</v>
      </c>
      <c r="E106" s="15">
        <f>(E107/D107)-1</f>
        <v>-1.6040309813962876</v>
      </c>
      <c r="F106" s="15">
        <f>(F107/E107)-1</f>
        <v>7.7331844086399784</v>
      </c>
      <c r="G106" s="31">
        <v>516000000</v>
      </c>
      <c r="H106" s="31">
        <v>738900000</v>
      </c>
      <c r="I106" s="31">
        <v>1044000000</v>
      </c>
      <c r="J106" s="31">
        <v>1734000000</v>
      </c>
      <c r="K106" s="31">
        <v>2596000000</v>
      </c>
      <c r="L106" s="28" t="s">
        <v>163</v>
      </c>
      <c r="M106" s="54" t="s">
        <v>143</v>
      </c>
      <c r="N106" s="55">
        <f>(SUM(G4:K4)/5)</f>
        <v>0.33087148404354477</v>
      </c>
    </row>
    <row r="107" spans="1:14" ht="19" x14ac:dyDescent="0.25">
      <c r="A107" s="41" t="s">
        <v>161</v>
      </c>
      <c r="B107" s="1">
        <v>-147998000</v>
      </c>
      <c r="C107" s="1">
        <v>-199406000</v>
      </c>
      <c r="D107" s="1">
        <v>-94121000</v>
      </c>
      <c r="E107" s="1">
        <v>56852000</v>
      </c>
      <c r="F107" s="1">
        <v>496499000</v>
      </c>
      <c r="G107" s="28"/>
      <c r="H107" s="28"/>
      <c r="I107" s="28"/>
      <c r="J107" s="28"/>
      <c r="K107" s="33">
        <f>K106*(1+N107)/(N108-N107)</f>
        <v>30566943495.530304</v>
      </c>
      <c r="L107" s="29" t="s">
        <v>144</v>
      </c>
      <c r="M107" s="56" t="s">
        <v>145</v>
      </c>
      <c r="N107" s="57">
        <v>2.5000000000000001E-2</v>
      </c>
    </row>
    <row r="108" spans="1:14" ht="19" x14ac:dyDescent="0.25">
      <c r="G108" s="33">
        <f t="shared" ref="G108:J108" si="22">G107+G106</f>
        <v>516000000</v>
      </c>
      <c r="H108" s="33">
        <f t="shared" si="22"/>
        <v>738900000</v>
      </c>
      <c r="I108" s="33">
        <f t="shared" si="22"/>
        <v>1044000000</v>
      </c>
      <c r="J108" s="33">
        <f t="shared" si="22"/>
        <v>1734000000</v>
      </c>
      <c r="K108" s="33">
        <f>K107+K106</f>
        <v>33162943495.530304</v>
      </c>
      <c r="L108" s="29" t="s">
        <v>141</v>
      </c>
      <c r="M108" s="58" t="s">
        <v>146</v>
      </c>
      <c r="N108" s="55">
        <f>N105</f>
        <v>0.11205155621428405</v>
      </c>
    </row>
    <row r="109" spans="1:14" ht="19" x14ac:dyDescent="0.25">
      <c r="G109" s="65" t="s">
        <v>147</v>
      </c>
      <c r="H109" s="65"/>
    </row>
    <row r="110" spans="1:14" ht="20" x14ac:dyDescent="0.25">
      <c r="G110" s="59" t="s">
        <v>148</v>
      </c>
      <c r="H110" s="50">
        <f>NPV(N108,G108,H108,I108,J108,K108)</f>
        <v>22454208749.107002</v>
      </c>
    </row>
    <row r="111" spans="1:14" ht="20" x14ac:dyDescent="0.25">
      <c r="G111" s="59" t="s">
        <v>149</v>
      </c>
      <c r="H111" s="50">
        <f>F40</f>
        <v>4007868000</v>
      </c>
    </row>
    <row r="112" spans="1:14" ht="20" x14ac:dyDescent="0.25">
      <c r="G112" s="59" t="s">
        <v>137</v>
      </c>
      <c r="H112" s="50">
        <f>N99</f>
        <v>251658000</v>
      </c>
    </row>
    <row r="113" spans="7:8" ht="20" x14ac:dyDescent="0.25">
      <c r="G113" s="59" t="s">
        <v>150</v>
      </c>
      <c r="H113" s="50">
        <f>H110+H111-H112</f>
        <v>26210418749.107002</v>
      </c>
    </row>
    <row r="114" spans="7:8" ht="20" x14ac:dyDescent="0.25">
      <c r="G114" s="59" t="s">
        <v>166</v>
      </c>
      <c r="H114" s="59">
        <f>F34*(1+(5*0))</f>
        <v>318730000</v>
      </c>
    </row>
    <row r="115" spans="7:8" ht="20" x14ac:dyDescent="0.25">
      <c r="G115" s="60" t="s">
        <v>151</v>
      </c>
      <c r="H115" s="61">
        <f>H113/H114</f>
        <v>82.233924478734366</v>
      </c>
    </row>
    <row r="116" spans="7:8" ht="20" x14ac:dyDescent="0.25">
      <c r="G116" s="59" t="s">
        <v>152</v>
      </c>
      <c r="H116" s="62" cm="1">
        <f t="array" ref="H116">_FV(A1,"Price")</f>
        <v>179.35</v>
      </c>
    </row>
    <row r="117" spans="7:8" ht="20" x14ac:dyDescent="0.25">
      <c r="G117" s="60" t="s">
        <v>153</v>
      </c>
      <c r="H117" s="63">
        <f>H115/H116-1</f>
        <v>-0.54148913031093193</v>
      </c>
    </row>
    <row r="118" spans="7:8" ht="20" x14ac:dyDescent="0.25">
      <c r="G118" s="60" t="s">
        <v>154</v>
      </c>
      <c r="H118" s="64"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2023-03-13T17:51:05Z</dcterms:created>
  <dcterms:modified xsi:type="dcterms:W3CDTF">2023-07-29T06:13:17Z</dcterms:modified>
</cp:coreProperties>
</file>