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Negative FCF/"/>
    </mc:Choice>
  </mc:AlternateContent>
  <xr:revisionPtr revIDLastSave="0" documentId="13_ncr:1_{010B1840-11B9-D945-AB64-582D7973BF51}" xr6:coauthVersionLast="47" xr6:coauthVersionMax="47" xr10:uidLastSave="{00000000-0000-0000-0000-000000000000}"/>
  <bookViews>
    <workbookView xWindow="25000" yWindow="500" windowWidth="26200" windowHeight="28300" xr2:uid="{00000000-000D-0000-FFFF-FFFF00000000}"/>
  </bookViews>
  <sheets>
    <sheet name="Sheet 1" sheetId="1" r:id="rId1"/>
  </sheets>
  <definedNames>
    <definedName name="_xlchart.v2.0" hidden="1">'Sheet 1'!$A$106</definedName>
    <definedName name="_xlchart.v2.1" hidden="1">'Sheet 1'!$A$19</definedName>
    <definedName name="_xlchart.v2.2" hidden="1">'Sheet 1'!$A$3</definedName>
    <definedName name="_xlchart.v2.3" hidden="1">'Sheet 1'!$B$106:$F$106</definedName>
    <definedName name="_xlchart.v2.4" hidden="1">'Sheet 1'!$B$19:$F$19</definedName>
    <definedName name="_xlchart.v2.5" hidden="1">'Sheet 1'!$B$3:$F$3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H114" i="1" s="1"/>
  <c r="N85" i="1"/>
  <c r="N88" i="1" s="1"/>
  <c r="N92" i="1" s="1"/>
  <c r="H111" i="1"/>
  <c r="N101" i="1"/>
  <c r="O16" i="1" s="1"/>
  <c r="N97" i="1"/>
  <c r="N90" i="1"/>
  <c r="N89" i="1"/>
  <c r="N91" i="1" s="1"/>
  <c r="N87" i="1"/>
  <c r="N86" i="1"/>
  <c r="N99" i="1" s="1"/>
  <c r="L13" i="1"/>
  <c r="L4" i="1"/>
  <c r="L19" i="1"/>
  <c r="M16" i="1"/>
  <c r="O13" i="1"/>
  <c r="N13" i="1"/>
  <c r="M13" i="1"/>
  <c r="O10" i="1"/>
  <c r="N10" i="1"/>
  <c r="M10" i="1"/>
  <c r="L10" i="1"/>
  <c r="O7" i="1"/>
  <c r="N7" i="1"/>
  <c r="M7" i="1"/>
  <c r="L7" i="1"/>
  <c r="O4" i="1"/>
  <c r="N4" i="1"/>
  <c r="M4" i="1"/>
  <c r="K4" i="1"/>
  <c r="J4" i="1"/>
  <c r="I4" i="1"/>
  <c r="H4" i="1"/>
  <c r="G4" i="1"/>
  <c r="F105" i="1"/>
  <c r="E105" i="1"/>
  <c r="D105" i="1"/>
  <c r="C105" i="1"/>
  <c r="F89" i="1"/>
  <c r="E89" i="1"/>
  <c r="D89" i="1"/>
  <c r="C89" i="1"/>
  <c r="B89" i="1"/>
  <c r="F80" i="1"/>
  <c r="E80" i="1"/>
  <c r="D80" i="1"/>
  <c r="C80" i="1"/>
  <c r="B80" i="1"/>
  <c r="F35" i="1"/>
  <c r="E35" i="1"/>
  <c r="D35" i="1"/>
  <c r="C35" i="1"/>
  <c r="F29" i="1"/>
  <c r="E29" i="1"/>
  <c r="D29" i="1"/>
  <c r="C29" i="1"/>
  <c r="F20" i="1"/>
  <c r="E20" i="1"/>
  <c r="D20" i="1"/>
  <c r="C20" i="1"/>
  <c r="F13" i="1"/>
  <c r="E13" i="1"/>
  <c r="D13" i="1"/>
  <c r="C13" i="1"/>
  <c r="B13" i="1"/>
  <c r="F9" i="1"/>
  <c r="E9" i="1"/>
  <c r="D9" i="1"/>
  <c r="C9" i="1"/>
  <c r="B9" i="1"/>
  <c r="F4" i="1"/>
  <c r="E4" i="1"/>
  <c r="D4" i="1"/>
  <c r="C4" i="1"/>
  <c r="N106" i="1" l="1"/>
  <c r="G106" i="1" s="1"/>
  <c r="H106" i="1" s="1"/>
  <c r="N16" i="1"/>
  <c r="H112" i="1"/>
  <c r="N103" i="1"/>
  <c r="N102" i="1" s="1"/>
  <c r="G108" i="1" l="1"/>
  <c r="N100" i="1"/>
  <c r="N105" i="1" s="1"/>
  <c r="N108" i="1" s="1"/>
  <c r="H108" i="1"/>
  <c r="I106" i="1"/>
  <c r="J106" i="1" l="1"/>
  <c r="I108" i="1"/>
  <c r="K106" i="1" l="1"/>
  <c r="K107" i="1" s="1"/>
  <c r="K108" i="1" s="1"/>
  <c r="J108" i="1"/>
  <c r="H110" i="1" l="1"/>
  <c r="H113" i="1" s="1"/>
  <c r="H115" i="1" s="1"/>
  <c r="H118" i="1" s="1"/>
  <c r="H117" i="1" l="1"/>
</calcChain>
</file>

<file path=xl/sharedStrings.xml><?xml version="1.0" encoding="utf-8"?>
<sst xmlns="http://schemas.openxmlformats.org/spreadsheetml/2006/main" count="274" uniqueCount="161">
  <si>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</si>
  <si>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</si>
  <si>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</si>
  <si>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</si>
  <si>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</si>
  <si>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</si>
  <si>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</si>
  <si>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</si>
  <si>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</si>
  <si>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</si>
  <si>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</si>
  <si>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</si>
  <si>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</si>
  <si>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</si>
  <si>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</si>
  <si>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</si>
  <si>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</si>
  <si>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</si>
  <si>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</si>
  <si>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</si>
  <si>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</si>
  <si>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</si>
  <si>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</si>
  <si>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</si>
  <si>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</si>
  <si>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</si>
  <si>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</si>
  <si>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</si>
  <si>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</si>
  <si>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</si>
  <si>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</si>
  <si>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</si>
  <si>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</si>
  <si>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</si>
  <si>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</si>
  <si>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</si>
  <si>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</si>
  <si>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</si>
  <si>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</si>
  <si>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</si>
  <si>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</si>
  <si>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</si>
  <si>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</si>
  <si>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</si>
  <si>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</si>
  <si>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</si>
  <si>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</si>
  <si>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</si>
  <si>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</si>
  <si>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</si>
  <si>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</si>
  <si>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</si>
  <si>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</si>
  <si>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</si>
  <si>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</si>
  <si>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</si>
  <si>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</si>
  <si>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</si>
  <si>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</si>
  <si>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</si>
  <si>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</si>
  <si>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</si>
  <si>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</si>
  <si>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</si>
  <si>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</si>
  <si>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</si>
  <si>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</si>
  <si>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</si>
  <si>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</si>
  <si>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</si>
  <si>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</si>
  <si>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</si>
  <si>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</si>
  <si>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</si>
  <si>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</si>
  <si>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</si>
  <si>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</si>
  <si>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</si>
  <si>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</si>
  <si>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</si>
  <si>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</si>
  <si>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</si>
  <si>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</si>
  <si>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</si>
  <si>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</si>
  <si>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</si>
  <si>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</si>
  <si>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</si>
  <si>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</si>
  <si>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</si>
  <si>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</si>
  <si>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</si>
  <si>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</si>
  <si>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</si>
  <si>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Snowflake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</si>
  <si>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</si>
  <si>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</si>
  <si>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</si>
  <si>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</si>
  <si>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</si>
  <si>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</si>
  <si>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</si>
  <si>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</si>
  <si>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</si>
  <si>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</si>
  <si>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</si>
  <si>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</si>
  <si>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</si>
  <si>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</si>
  <si>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</si>
  <si>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</si>
  <si>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</si>
  <si>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</si>
  <si>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</si>
  <si>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</si>
  <si>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</si>
  <si>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</si>
  <si>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</si>
  <si>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</si>
  <si>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</si>
  <si>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</si>
  <si>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</si>
  <si>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</si>
  <si>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</si>
  <si>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</si>
  <si>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</si>
  <si>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</si>
  <si>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</si>
  <si>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</si>
  <si>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</si>
  <si>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</si>
  <si>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</si>
  <si>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</si>
  <si>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</si>
  <si>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</si>
  <si>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</si>
  <si>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</si>
  <si>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</si>
  <si>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</si>
  <si>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</si>
  <si>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</si>
  <si>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</si>
  <si>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</si>
  <si>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</si>
  <si>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</si>
  <si>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</si>
  <si>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</si>
  <si>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</si>
  <si>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</si>
  <si>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</si>
  <si>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</si>
  <si>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</si>
  <si>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</si>
  <si>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</si>
  <si>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</si>
  <si>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</si>
  <si>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Intrinsic Value</t>
  </si>
  <si>
    <t>Current Price</t>
  </si>
  <si>
    <t>Upside/Downside</t>
  </si>
  <si>
    <t>Buy/Sell</t>
  </si>
  <si>
    <t>Shares +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</si>
</sst>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4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14569536423829E-2"/>
          <c:y val="0.1122254738078059"/>
          <c:w val="0.86385430463576174"/>
          <c:h val="0.76513312329982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1'!$B$3:$F$3</c:f>
              <c:numCache>
                <c:formatCode>#,###,,;\(#,###,,\);\ \-\ \-</c:formatCode>
                <c:ptCount val="5"/>
                <c:pt idx="0">
                  <c:v>96666000</c:v>
                </c:pt>
                <c:pt idx="1">
                  <c:v>264748000</c:v>
                </c:pt>
                <c:pt idx="2">
                  <c:v>592049000</c:v>
                </c:pt>
                <c:pt idx="3">
                  <c:v>1219327000</c:v>
                </c:pt>
                <c:pt idx="4">
                  <c:v>2065659000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3-3E4A-AC3E-941547BABF04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1'!$B$19:$F$19</c:f>
              <c:numCache>
                <c:formatCode>#,###,,;\(#,###,,\);\ \-\ \-</c:formatCode>
                <c:ptCount val="5"/>
                <c:pt idx="0">
                  <c:v>-175846000</c:v>
                </c:pt>
                <c:pt idx="1">
                  <c:v>-344020000</c:v>
                </c:pt>
                <c:pt idx="2">
                  <c:v>-527214000</c:v>
                </c:pt>
                <c:pt idx="3">
                  <c:v>-646333000</c:v>
                </c:pt>
                <c:pt idx="4">
                  <c:v>-711206000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3-3E4A-AC3E-941547BABF04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1'!$B$106:$F$106</c:f>
              <c:numCache>
                <c:formatCode>#,###,,;\(#,###,,\);\ \-\ \-</c:formatCode>
                <c:ptCount val="5"/>
                <c:pt idx="0">
                  <c:v>-147998000</c:v>
                </c:pt>
                <c:pt idx="1">
                  <c:v>-199406000</c:v>
                </c:pt>
                <c:pt idx="2">
                  <c:v>-94121000</c:v>
                </c:pt>
                <c:pt idx="3">
                  <c:v>56852000</c:v>
                </c:pt>
                <c:pt idx="4">
                  <c:v>496499000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3-3E4A-AC3E-941547BA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2005007"/>
        <c:axId val="1861356575"/>
      </c:barChart>
      <c:catAx>
        <c:axId val="18620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56575"/>
        <c:crosses val="autoZero"/>
        <c:auto val="1"/>
        <c:lblAlgn val="ctr"/>
        <c:lblOffset val="100"/>
        <c:noMultiLvlLbl val="0"/>
      </c:catAx>
      <c:valAx>
        <c:axId val="18613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52025864316627"/>
          <c:y val="0.91007739570402302"/>
          <c:w val="0.30355550920373364"/>
          <c:h val="4.6667055064332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108</xdr:row>
      <xdr:rowOff>25399</xdr:rowOff>
    </xdr:from>
    <xdr:to>
      <xdr:col>14</xdr:col>
      <xdr:colOff>0</xdr:colOff>
      <xdr:row>132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3FC44-0718-38F5-21C3-0FDC75848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640147/000164014722000023/0001640147-22-000023-index.ht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www.sec.gov/Archives/edgar/data/1640147/000164014721000073/0001640147-21-000073-index.htm" TargetMode="External"/><Relationship Id="rId12" Type="http://schemas.openxmlformats.org/officeDocument/2006/relationships/hyperlink" Target="https://finbox.com/NYSE:SNOW/explorer/revenue_proj" TargetMode="External"/><Relationship Id="rId2" Type="http://schemas.openxmlformats.org/officeDocument/2006/relationships/hyperlink" Target="https://sec.gov/" TargetMode="External"/><Relationship Id="rId1" Type="http://schemas.openxmlformats.org/officeDocument/2006/relationships/hyperlink" Target="https://roic.ai/company/SNOW" TargetMode="External"/><Relationship Id="rId6" Type="http://schemas.openxmlformats.org/officeDocument/2006/relationships/hyperlink" Target="https://www.sec.gov/Archives/edgar/data/1640147/000164014721000073/0001640147-21-000073-index.htm" TargetMode="External"/><Relationship Id="rId11" Type="http://schemas.openxmlformats.org/officeDocument/2006/relationships/hyperlink" Target="https://sec.gov/" TargetMode="External"/><Relationship Id="rId5" Type="http://schemas.openxmlformats.org/officeDocument/2006/relationships/hyperlink" Target="https://sec.gov/" TargetMode="External"/><Relationship Id="rId10" Type="http://schemas.openxmlformats.org/officeDocument/2006/relationships/hyperlink" Target="https://sec.gov/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640147/000164014722000023/0001640147-22-000023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80" zoomScaleNormal="80" workbookViewId="0">
      <pane xSplit="1" ySplit="1" topLeftCell="F49" activePane="bottomRight" state="frozen"/>
      <selection pane="topRight"/>
      <selection pane="bottomLeft"/>
      <selection pane="bottomRight" activeCell="J78" sqref="J78"/>
    </sheetView>
  </sheetViews>
  <sheetFormatPr baseColWidth="10" defaultRowHeight="16" x14ac:dyDescent="0.2"/>
  <cols>
    <col min="1" max="1" width="50" customWidth="1"/>
    <col min="2" max="6" width="15" customWidth="1"/>
    <col min="7" max="15" width="21" customWidth="1"/>
  </cols>
  <sheetData>
    <row r="1" spans="1:38" ht="22" thickBot="1" x14ac:dyDescent="0.3">
      <c r="A1" s="3" t="s">
        <v>94</v>
      </c>
      <c r="B1" s="8">
        <v>2019</v>
      </c>
      <c r="C1" s="8">
        <v>2020</v>
      </c>
      <c r="D1" s="8">
        <v>2021</v>
      </c>
      <c r="E1" s="8">
        <v>2022</v>
      </c>
      <c r="F1" s="8">
        <v>2023</v>
      </c>
      <c r="G1" s="28">
        <v>2024</v>
      </c>
      <c r="H1" s="28">
        <v>2025</v>
      </c>
      <c r="I1" s="28">
        <v>2026</v>
      </c>
      <c r="J1" s="28">
        <v>2027</v>
      </c>
      <c r="K1" s="28">
        <v>2028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/>
      <c r="K2" s="9"/>
      <c r="L2" s="9"/>
      <c r="M2" s="9"/>
      <c r="N2" s="9"/>
      <c r="O2" s="9"/>
    </row>
    <row r="3" spans="1:38" ht="40" x14ac:dyDescent="0.25">
      <c r="A3" s="5" t="s">
        <v>1</v>
      </c>
      <c r="B3" s="1">
        <v>96666000</v>
      </c>
      <c r="C3" s="1">
        <v>264748000</v>
      </c>
      <c r="D3" s="1">
        <v>592049000</v>
      </c>
      <c r="E3" s="1">
        <v>1219327000</v>
      </c>
      <c r="F3" s="1">
        <v>2065659000</v>
      </c>
      <c r="G3" s="29">
        <v>2877000000</v>
      </c>
      <c r="H3" s="29">
        <v>3926000000</v>
      </c>
      <c r="I3" s="29">
        <v>5332000000</v>
      </c>
      <c r="J3" s="29">
        <v>7544000000</v>
      </c>
      <c r="K3" s="29">
        <v>9703000000</v>
      </c>
      <c r="L3" s="19" t="s">
        <v>110</v>
      </c>
      <c r="M3" s="20" t="s">
        <v>111</v>
      </c>
      <c r="N3" s="20" t="s">
        <v>112</v>
      </c>
      <c r="O3" s="20" t="s">
        <v>113</v>
      </c>
    </row>
    <row r="4" spans="1:38" ht="19" x14ac:dyDescent="0.25">
      <c r="A4" s="14" t="s">
        <v>95</v>
      </c>
      <c r="B4" s="1"/>
      <c r="C4" s="15">
        <f>(C3/B3)-1</f>
        <v>1.7387913020089796</v>
      </c>
      <c r="D4" s="15">
        <f>(D3/C3)-1</f>
        <v>1.2362737395561063</v>
      </c>
      <c r="E4" s="15">
        <f>(E3/D3)-1</f>
        <v>1.0595035208234456</v>
      </c>
      <c r="F4" s="15">
        <f t="shared" ref="F4:K4" si="0">(F3/E3)-1</f>
        <v>0.69409764566847132</v>
      </c>
      <c r="G4" s="16">
        <f t="shared" si="0"/>
        <v>0.39277586474824733</v>
      </c>
      <c r="H4" s="16">
        <f t="shared" si="0"/>
        <v>0.36461591936044502</v>
      </c>
      <c r="I4" s="16">
        <f t="shared" si="0"/>
        <v>0.35812531839021911</v>
      </c>
      <c r="J4" s="16">
        <f t="shared" si="0"/>
        <v>0.4148537134283572</v>
      </c>
      <c r="K4" s="16">
        <f t="shared" si="0"/>
        <v>0.28618769883351014</v>
      </c>
      <c r="L4" s="17">
        <f>(F4+E4+D4)/3</f>
        <v>0.99662496868267436</v>
      </c>
      <c r="M4" s="17">
        <f>(F20+E20+D20)/3</f>
        <v>0.28627370306388727</v>
      </c>
      <c r="N4" s="17">
        <f>(F29+E29+D29)/3</f>
        <v>0.32658024734885066</v>
      </c>
      <c r="O4" s="17">
        <f>(F105+E105+D105)/3</f>
        <v>1.867053429206335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I4" s="18"/>
      <c r="AJ4" s="18"/>
      <c r="AK4" s="18"/>
      <c r="AL4" s="18"/>
    </row>
    <row r="5" spans="1:38" ht="19" x14ac:dyDescent="0.25">
      <c r="A5" s="5" t="s">
        <v>2</v>
      </c>
      <c r="B5" s="1">
        <v>51753000</v>
      </c>
      <c r="C5" s="1">
        <v>116557000</v>
      </c>
      <c r="D5" s="1">
        <v>242588000</v>
      </c>
      <c r="E5" s="1">
        <v>458433000</v>
      </c>
      <c r="F5" s="1">
        <v>717540000</v>
      </c>
    </row>
    <row r="6" spans="1:38" ht="20" x14ac:dyDescent="0.25">
      <c r="A6" s="6" t="s">
        <v>3</v>
      </c>
      <c r="B6" s="10">
        <v>44913000</v>
      </c>
      <c r="C6" s="10">
        <v>148191000</v>
      </c>
      <c r="D6" s="10">
        <v>349461000</v>
      </c>
      <c r="E6" s="10">
        <v>760894000</v>
      </c>
      <c r="F6" s="10">
        <v>1348119000</v>
      </c>
      <c r="L6" s="19" t="s">
        <v>114</v>
      </c>
      <c r="M6" s="20" t="s">
        <v>115</v>
      </c>
      <c r="N6" s="20" t="s">
        <v>116</v>
      </c>
      <c r="O6" s="20" t="s">
        <v>117</v>
      </c>
    </row>
    <row r="7" spans="1:38" ht="19" x14ac:dyDescent="0.25">
      <c r="A7" s="5" t="s">
        <v>4</v>
      </c>
      <c r="B7" s="2">
        <v>0.46460000000000001</v>
      </c>
      <c r="C7" s="2">
        <v>0.55969999999999998</v>
      </c>
      <c r="D7" s="2">
        <v>0.59030000000000005</v>
      </c>
      <c r="E7" s="2">
        <v>0.624</v>
      </c>
      <c r="F7" s="2">
        <v>0.65259999999999996</v>
      </c>
      <c r="L7" s="17">
        <f>F7</f>
        <v>0.65259999999999996</v>
      </c>
      <c r="M7" s="21">
        <f>F21</f>
        <v>-0.34429999999999999</v>
      </c>
      <c r="N7" s="21">
        <f>F30</f>
        <v>-0.38569999999999999</v>
      </c>
      <c r="O7" s="21">
        <f>F106/F3</f>
        <v>0.24035864583651029</v>
      </c>
    </row>
    <row r="8" spans="1:38" ht="19" x14ac:dyDescent="0.25">
      <c r="A8" s="5" t="s">
        <v>5</v>
      </c>
      <c r="B8" s="1">
        <v>68681000</v>
      </c>
      <c r="C8" s="1">
        <v>105160000</v>
      </c>
      <c r="D8" s="1">
        <v>237946000</v>
      </c>
      <c r="E8" s="1">
        <v>466932000</v>
      </c>
      <c r="F8" s="1">
        <v>788058000</v>
      </c>
    </row>
    <row r="9" spans="1:38" ht="19" customHeight="1" x14ac:dyDescent="0.25">
      <c r="A9" s="14" t="s">
        <v>96</v>
      </c>
      <c r="B9" s="15">
        <f>B8/B3</f>
        <v>0.71049800343450642</v>
      </c>
      <c r="C9" s="15">
        <f t="shared" ref="C9:F9" si="1">C8/C3</f>
        <v>0.39720791091906266</v>
      </c>
      <c r="D9" s="15">
        <f t="shared" si="1"/>
        <v>0.40190254522851993</v>
      </c>
      <c r="E9" s="15">
        <f t="shared" si="1"/>
        <v>0.38294239363189692</v>
      </c>
      <c r="F9" s="15">
        <f t="shared" si="1"/>
        <v>0.38150440125887186</v>
      </c>
      <c r="G9" s="15"/>
      <c r="H9" s="15"/>
      <c r="L9" s="19" t="s">
        <v>97</v>
      </c>
      <c r="M9" s="20" t="s">
        <v>98</v>
      </c>
      <c r="N9" s="20" t="s">
        <v>99</v>
      </c>
      <c r="O9" s="20" t="s">
        <v>100</v>
      </c>
    </row>
    <row r="10" spans="1:38" ht="19" x14ac:dyDescent="0.25">
      <c r="A10" s="5" t="s">
        <v>6</v>
      </c>
      <c r="B10" s="1">
        <v>36055000</v>
      </c>
      <c r="C10" s="1">
        <v>107542000</v>
      </c>
      <c r="D10" s="1">
        <v>176135000</v>
      </c>
      <c r="E10" s="1">
        <v>265033000</v>
      </c>
      <c r="F10" s="1">
        <v>295821000</v>
      </c>
      <c r="L10" s="17">
        <f>F9</f>
        <v>0.38150440125887186</v>
      </c>
      <c r="M10" s="21">
        <f>F13</f>
        <v>0.67887681364639563</v>
      </c>
      <c r="N10" s="21">
        <f>F80</f>
        <v>0.41707416374145007</v>
      </c>
      <c r="O10" s="21">
        <f>F89</f>
        <v>1.2164640920887716E-2</v>
      </c>
    </row>
    <row r="11" spans="1:38" ht="19" x14ac:dyDescent="0.25">
      <c r="A11" s="5" t="s">
        <v>7</v>
      </c>
      <c r="B11" s="1">
        <v>125642000</v>
      </c>
      <c r="C11" s="1">
        <v>293577000</v>
      </c>
      <c r="D11" s="1">
        <v>479317000</v>
      </c>
      <c r="E11" s="1">
        <v>743965000</v>
      </c>
      <c r="F11" s="1">
        <v>1106507000</v>
      </c>
    </row>
    <row r="12" spans="1:38" ht="20" x14ac:dyDescent="0.25">
      <c r="A12" s="5" t="s">
        <v>8</v>
      </c>
      <c r="B12" s="1">
        <v>161697000</v>
      </c>
      <c r="C12" s="1">
        <v>401119000</v>
      </c>
      <c r="D12" s="1">
        <v>655452000</v>
      </c>
      <c r="E12" s="1">
        <v>1008998000</v>
      </c>
      <c r="F12" s="1">
        <v>1402328000</v>
      </c>
      <c r="L12" s="19" t="s">
        <v>118</v>
      </c>
      <c r="M12" s="20" t="s">
        <v>119</v>
      </c>
      <c r="N12" s="20" t="s">
        <v>120</v>
      </c>
      <c r="O12" s="20" t="s">
        <v>121</v>
      </c>
    </row>
    <row r="13" spans="1:38" ht="19" x14ac:dyDescent="0.25">
      <c r="A13" s="14" t="s">
        <v>101</v>
      </c>
      <c r="B13" s="15">
        <f>B12/B3</f>
        <v>1.6727391223387746</v>
      </c>
      <c r="C13" s="15">
        <f t="shared" ref="C13:F13" si="2">C12/C3</f>
        <v>1.5150973756175683</v>
      </c>
      <c r="D13" s="15">
        <f t="shared" si="2"/>
        <v>1.1070907982278493</v>
      </c>
      <c r="E13" s="15">
        <f t="shared" si="2"/>
        <v>0.82750402476120022</v>
      </c>
      <c r="F13" s="15">
        <f t="shared" si="2"/>
        <v>0.67887681364639563</v>
      </c>
      <c r="G13" s="15"/>
      <c r="H13" s="15"/>
      <c r="L13" s="17">
        <f>F28/F72</f>
        <v>-0.1460119755825964</v>
      </c>
      <c r="M13" s="21">
        <f>F28/F54</f>
        <v>-0.10316909862085523</v>
      </c>
      <c r="N13" s="21">
        <f>F22/(F72+F56+F61)</f>
        <v>-0.14755660996472728</v>
      </c>
      <c r="O13" s="22">
        <f>F67/F72</f>
        <v>0.40857017291140224</v>
      </c>
    </row>
    <row r="14" spans="1:38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</row>
    <row r="15" spans="1:38" ht="20" x14ac:dyDescent="0.25">
      <c r="A15" s="5" t="s">
        <v>10</v>
      </c>
      <c r="B15" s="1">
        <v>230378000</v>
      </c>
      <c r="C15" s="1">
        <v>506279000</v>
      </c>
      <c r="D15" s="1">
        <v>893398000</v>
      </c>
      <c r="E15" s="1">
        <v>1475930000</v>
      </c>
      <c r="F15" s="1">
        <v>2190386000</v>
      </c>
      <c r="L15" s="19" t="s">
        <v>122</v>
      </c>
      <c r="M15" s="20" t="s">
        <v>123</v>
      </c>
      <c r="N15" s="20" t="s">
        <v>124</v>
      </c>
      <c r="O15" s="20" t="s">
        <v>125</v>
      </c>
    </row>
    <row r="16" spans="1:38" ht="19" x14ac:dyDescent="0.25">
      <c r="A16" s="5" t="s">
        <v>11</v>
      </c>
      <c r="B16" s="1">
        <v>282131000</v>
      </c>
      <c r="C16" s="1">
        <v>622836000</v>
      </c>
      <c r="D16" s="1">
        <v>1135986000</v>
      </c>
      <c r="E16" s="1">
        <v>1934363000</v>
      </c>
      <c r="F16" s="1">
        <v>2907926000</v>
      </c>
      <c r="L16" s="30">
        <f>(F35+E35+D35+C35)/4</f>
        <v>0.20264518659597172</v>
      </c>
      <c r="M16" s="31">
        <f>N101/F3</f>
        <v>20.902943370614413</v>
      </c>
      <c r="N16" s="31">
        <f>N101/F28</f>
        <v>-54.196161816481634</v>
      </c>
      <c r="O16" s="32">
        <f>N101/F106</f>
        <v>86.965639608538993</v>
      </c>
    </row>
    <row r="17" spans="1:12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>
        <v>9129000</v>
      </c>
      <c r="F17" s="1">
        <v>73839000</v>
      </c>
    </row>
    <row r="18" spans="1:12" ht="20" x14ac:dyDescent="0.25">
      <c r="A18" s="5" t="s">
        <v>13</v>
      </c>
      <c r="B18" s="1">
        <v>1362000</v>
      </c>
      <c r="C18" s="1">
        <v>3522000</v>
      </c>
      <c r="D18" s="1">
        <v>9826000</v>
      </c>
      <c r="E18" s="1">
        <v>21498000</v>
      </c>
      <c r="F18" s="1">
        <v>67032000</v>
      </c>
      <c r="L18" s="19" t="s">
        <v>126</v>
      </c>
    </row>
    <row r="19" spans="1:12" ht="19" x14ac:dyDescent="0.25">
      <c r="A19" s="6" t="s">
        <v>14</v>
      </c>
      <c r="B19" s="10">
        <v>-175846000</v>
      </c>
      <c r="C19" s="10">
        <v>-344020000</v>
      </c>
      <c r="D19" s="10">
        <v>-527214000</v>
      </c>
      <c r="E19" s="10">
        <v>-646333000</v>
      </c>
      <c r="F19" s="10">
        <v>-711206000</v>
      </c>
      <c r="L19" s="33">
        <f>F40-F56-F61</f>
        <v>3756210000</v>
      </c>
    </row>
    <row r="20" spans="1:12" ht="19" customHeight="1" x14ac:dyDescent="0.25">
      <c r="A20" s="14" t="s">
        <v>102</v>
      </c>
      <c r="B20" s="1"/>
      <c r="C20" s="15">
        <f>(C19/B19)-1</f>
        <v>0.95637091546011854</v>
      </c>
      <c r="D20" s="15">
        <f>(D19/C19)-1</f>
        <v>0.53250973780594157</v>
      </c>
      <c r="E20" s="15">
        <f>(E19/D19)-1</f>
        <v>0.22594050992576076</v>
      </c>
      <c r="F20" s="15">
        <f t="shared" ref="F20" si="3">(F19/E19)-1</f>
        <v>0.10037086145995944</v>
      </c>
    </row>
    <row r="21" spans="1:12" ht="19" x14ac:dyDescent="0.25">
      <c r="A21" s="5" t="s">
        <v>15</v>
      </c>
      <c r="B21" s="2">
        <v>-1.8190999999999999</v>
      </c>
      <c r="C21" s="2">
        <v>-1.2994000000000001</v>
      </c>
      <c r="D21" s="2">
        <v>-0.89049999999999996</v>
      </c>
      <c r="E21" s="2">
        <v>-0.53010000000000002</v>
      </c>
      <c r="F21" s="2">
        <v>-0.34429999999999999</v>
      </c>
    </row>
    <row r="22" spans="1:12" ht="19" x14ac:dyDescent="0.25">
      <c r="A22" s="6" t="s">
        <v>16</v>
      </c>
      <c r="B22" s="10">
        <v>-185465000</v>
      </c>
      <c r="C22" s="10">
        <v>-358088000</v>
      </c>
      <c r="D22" s="10">
        <v>-543937000</v>
      </c>
      <c r="E22" s="10">
        <v>-715036000</v>
      </c>
      <c r="F22" s="10">
        <v>-842267000</v>
      </c>
    </row>
    <row r="23" spans="1:12" ht="19" x14ac:dyDescent="0.25">
      <c r="A23" s="5" t="s">
        <v>17</v>
      </c>
      <c r="B23" s="2">
        <v>-1.9186000000000001</v>
      </c>
      <c r="C23" s="2">
        <v>-1.3526</v>
      </c>
      <c r="D23" s="2">
        <v>-0.91869999999999996</v>
      </c>
      <c r="E23" s="2">
        <v>-0.58640000000000003</v>
      </c>
      <c r="F23" s="2">
        <v>-0.40770000000000001</v>
      </c>
    </row>
    <row r="24" spans="1:12" ht="19" x14ac:dyDescent="0.25">
      <c r="A24" s="5" t="s">
        <v>18</v>
      </c>
      <c r="B24" s="1">
        <v>8257000</v>
      </c>
      <c r="C24" s="1">
        <v>10546000</v>
      </c>
      <c r="D24" s="1">
        <v>6897000</v>
      </c>
      <c r="E24" s="1">
        <v>38076000</v>
      </c>
      <c r="F24" s="1">
        <v>26274000</v>
      </c>
    </row>
    <row r="25" spans="1:12" ht="19" x14ac:dyDescent="0.25">
      <c r="A25" s="6" t="s">
        <v>19</v>
      </c>
      <c r="B25" s="10">
        <v>-177208000</v>
      </c>
      <c r="C25" s="10">
        <v>-347542000</v>
      </c>
      <c r="D25" s="10">
        <v>-537040000</v>
      </c>
      <c r="E25" s="10">
        <v>-676960000</v>
      </c>
      <c r="F25" s="10">
        <v>-815993000</v>
      </c>
    </row>
    <row r="26" spans="1:12" ht="19" x14ac:dyDescent="0.25">
      <c r="A26" s="5" t="s">
        <v>20</v>
      </c>
      <c r="B26" s="2">
        <v>-1.8331999999999999</v>
      </c>
      <c r="C26" s="2">
        <v>-1.3127</v>
      </c>
      <c r="D26" s="2">
        <v>-0.90710000000000002</v>
      </c>
      <c r="E26" s="2">
        <v>-0.55520000000000003</v>
      </c>
      <c r="F26" s="2">
        <v>-0.39500000000000002</v>
      </c>
    </row>
    <row r="27" spans="1:12" ht="19" x14ac:dyDescent="0.25">
      <c r="A27" s="5" t="s">
        <v>21</v>
      </c>
      <c r="B27" s="1">
        <v>820000</v>
      </c>
      <c r="C27" s="1">
        <v>993000</v>
      </c>
      <c r="D27" s="1">
        <v>2062000</v>
      </c>
      <c r="E27" s="1">
        <v>2988000</v>
      </c>
      <c r="F27" s="1">
        <v>18467000</v>
      </c>
    </row>
    <row r="28" spans="1:12" ht="19" x14ac:dyDescent="0.25">
      <c r="A28" s="7" t="s">
        <v>22</v>
      </c>
      <c r="B28" s="11">
        <v>-178028000</v>
      </c>
      <c r="C28" s="11">
        <v>-348535000</v>
      </c>
      <c r="D28" s="11">
        <v>-539102000</v>
      </c>
      <c r="E28" s="11">
        <v>-679948000</v>
      </c>
      <c r="F28" s="11">
        <v>-796705000</v>
      </c>
    </row>
    <row r="29" spans="1:12" ht="20" customHeight="1" x14ac:dyDescent="0.25">
      <c r="A29" s="14" t="s">
        <v>103</v>
      </c>
      <c r="B29" s="1"/>
      <c r="C29" s="15">
        <f>(C28/B28)-1</f>
        <v>0.95775383647516121</v>
      </c>
      <c r="D29" s="15">
        <f>(D28/C28)-1</f>
        <v>0.54676574805973566</v>
      </c>
      <c r="E29" s="15">
        <f>(E28/D28)-1</f>
        <v>0.26126039228198006</v>
      </c>
      <c r="F29" s="15">
        <f t="shared" ref="F29" si="4">(F28/E28)-1</f>
        <v>0.17171460170483632</v>
      </c>
    </row>
    <row r="30" spans="1:12" ht="19" x14ac:dyDescent="0.25">
      <c r="A30" s="5" t="s">
        <v>23</v>
      </c>
      <c r="B30" s="2">
        <v>-1.8416999999999999</v>
      </c>
      <c r="C30" s="2">
        <v>-1.3165</v>
      </c>
      <c r="D30" s="2">
        <v>-0.91059999999999997</v>
      </c>
      <c r="E30" s="2">
        <v>-0.55759999999999998</v>
      </c>
      <c r="F30" s="2">
        <v>-0.38569999999999999</v>
      </c>
    </row>
    <row r="31" spans="1:12" ht="19" x14ac:dyDescent="0.25">
      <c r="A31" s="5" t="s">
        <v>24</v>
      </c>
      <c r="B31" s="12">
        <v>-0.75</v>
      </c>
      <c r="C31" s="12">
        <v>-1.63</v>
      </c>
      <c r="D31" s="12">
        <v>-3.81</v>
      </c>
      <c r="E31" s="12">
        <v>-2.2599999999999998</v>
      </c>
      <c r="F31" s="12">
        <v>-2.5</v>
      </c>
    </row>
    <row r="32" spans="1:12" ht="19" x14ac:dyDescent="0.25">
      <c r="A32" s="5" t="s">
        <v>25</v>
      </c>
      <c r="B32" s="12">
        <v>-0.75</v>
      </c>
      <c r="C32" s="12">
        <v>-1.63</v>
      </c>
      <c r="D32" s="12">
        <v>-3.81</v>
      </c>
      <c r="E32" s="12">
        <v>-2.2599999999999998</v>
      </c>
      <c r="F32" s="12">
        <v>-2.5</v>
      </c>
    </row>
    <row r="33" spans="1:6" ht="19" x14ac:dyDescent="0.25">
      <c r="A33" s="5" t="s">
        <v>26</v>
      </c>
      <c r="B33" s="1">
        <v>238369506</v>
      </c>
      <c r="C33" s="1">
        <v>214327427</v>
      </c>
      <c r="D33" s="1">
        <v>141613196</v>
      </c>
      <c r="E33" s="1">
        <v>141613196</v>
      </c>
      <c r="F33" s="1">
        <v>318730000</v>
      </c>
    </row>
    <row r="34" spans="1:6" ht="19" x14ac:dyDescent="0.25">
      <c r="A34" s="5" t="s">
        <v>27</v>
      </c>
      <c r="B34" s="1">
        <v>238369506</v>
      </c>
      <c r="C34" s="1">
        <v>214327427</v>
      </c>
      <c r="D34" s="1">
        <v>141613196</v>
      </c>
      <c r="E34" s="1">
        <v>141613196</v>
      </c>
      <c r="F34" s="1">
        <v>318730000</v>
      </c>
    </row>
    <row r="35" spans="1:6" ht="20" customHeight="1" x14ac:dyDescent="0.25">
      <c r="A35" s="14" t="s">
        <v>104</v>
      </c>
      <c r="B35" s="1"/>
      <c r="C35" s="23">
        <f>(C34-B34)/B34</f>
        <v>-0.10086054799308096</v>
      </c>
      <c r="D35" s="23">
        <f t="shared" ref="D35:F35" si="5">(D34-C34)/C34</f>
        <v>-0.33926703650485202</v>
      </c>
      <c r="E35" s="23">
        <f t="shared" si="5"/>
        <v>0</v>
      </c>
      <c r="F35" s="23">
        <f t="shared" si="5"/>
        <v>1.2507083308818199</v>
      </c>
    </row>
    <row r="36" spans="1:6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</row>
    <row r="37" spans="1:6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</row>
    <row r="38" spans="1:6" ht="19" x14ac:dyDescent="0.25">
      <c r="A38" s="5" t="s">
        <v>30</v>
      </c>
      <c r="B38" s="1">
        <v>116541000</v>
      </c>
      <c r="C38" s="1">
        <v>127206000</v>
      </c>
      <c r="D38" s="1">
        <v>820177000</v>
      </c>
      <c r="E38" s="1">
        <v>1085729000</v>
      </c>
      <c r="F38" s="1">
        <v>939902000</v>
      </c>
    </row>
    <row r="39" spans="1:6" ht="19" x14ac:dyDescent="0.25">
      <c r="A39" s="5" t="s">
        <v>31</v>
      </c>
      <c r="B39" s="1">
        <v>492257000</v>
      </c>
      <c r="C39" s="1">
        <v>306844000</v>
      </c>
      <c r="D39" s="1">
        <v>3087887000</v>
      </c>
      <c r="E39" s="1">
        <v>2766364000</v>
      </c>
      <c r="F39" s="1">
        <v>3067966000</v>
      </c>
    </row>
    <row r="40" spans="1:6" ht="19" x14ac:dyDescent="0.25">
      <c r="A40" s="5" t="s">
        <v>32</v>
      </c>
      <c r="B40" s="1">
        <v>608798000</v>
      </c>
      <c r="C40" s="1">
        <v>434050000</v>
      </c>
      <c r="D40" s="1">
        <v>3908064000</v>
      </c>
      <c r="E40" s="1">
        <v>3852093000</v>
      </c>
      <c r="F40" s="1">
        <v>4007868000</v>
      </c>
    </row>
    <row r="41" spans="1:6" ht="19" x14ac:dyDescent="0.25">
      <c r="A41" s="5" t="s">
        <v>33</v>
      </c>
      <c r="B41" s="1">
        <v>63359000</v>
      </c>
      <c r="C41" s="1">
        <v>179459000</v>
      </c>
      <c r="D41" s="1">
        <v>294017000</v>
      </c>
      <c r="E41" s="1">
        <v>545629000</v>
      </c>
      <c r="F41" s="1">
        <v>715821000</v>
      </c>
    </row>
    <row r="42" spans="1:6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</row>
    <row r="43" spans="1:6" ht="19" x14ac:dyDescent="0.25">
      <c r="A43" s="5" t="s">
        <v>35</v>
      </c>
      <c r="B43" s="1">
        <v>26795000</v>
      </c>
      <c r="C43" s="1">
        <v>51685000</v>
      </c>
      <c r="D43" s="1">
        <v>98571000</v>
      </c>
      <c r="E43" s="1">
        <v>200921000</v>
      </c>
      <c r="F43" s="1">
        <v>261001000</v>
      </c>
    </row>
    <row r="44" spans="1:6" ht="19" x14ac:dyDescent="0.25">
      <c r="A44" s="6" t="s">
        <v>36</v>
      </c>
      <c r="B44" s="10">
        <v>698952000</v>
      </c>
      <c r="C44" s="10">
        <v>665194000</v>
      </c>
      <c r="D44" s="10">
        <v>4300652000</v>
      </c>
      <c r="E44" s="10">
        <v>4598643000</v>
      </c>
      <c r="F44" s="10">
        <v>4984690000</v>
      </c>
    </row>
    <row r="45" spans="1:6" ht="19" x14ac:dyDescent="0.25">
      <c r="A45" s="5" t="s">
        <v>37</v>
      </c>
      <c r="B45" s="1">
        <v>22756000</v>
      </c>
      <c r="C45" s="1">
        <v>223112000</v>
      </c>
      <c r="D45" s="1">
        <v>255786000</v>
      </c>
      <c r="E45" s="1">
        <v>295435000</v>
      </c>
      <c r="F45" s="1">
        <v>392089000</v>
      </c>
    </row>
    <row r="46" spans="1:6" ht="19" x14ac:dyDescent="0.25">
      <c r="A46" s="5" t="s">
        <v>38</v>
      </c>
      <c r="B46" s="1" t="s">
        <v>92</v>
      </c>
      <c r="C46" s="1">
        <v>7049000</v>
      </c>
      <c r="D46" s="1">
        <v>8449000</v>
      </c>
      <c r="E46" s="1">
        <v>8449000</v>
      </c>
      <c r="F46" s="1">
        <v>657370000</v>
      </c>
    </row>
    <row r="47" spans="1:6" ht="19" x14ac:dyDescent="0.25">
      <c r="A47" s="5" t="s">
        <v>39</v>
      </c>
      <c r="B47" s="1">
        <v>20000</v>
      </c>
      <c r="C47" s="1">
        <v>4795000</v>
      </c>
      <c r="D47" s="1">
        <v>16091000</v>
      </c>
      <c r="E47" s="1">
        <v>37141000</v>
      </c>
      <c r="F47" s="1">
        <v>186013000</v>
      </c>
    </row>
    <row r="48" spans="1:6" ht="19" x14ac:dyDescent="0.25">
      <c r="A48" s="5" t="s">
        <v>40</v>
      </c>
      <c r="B48" s="1">
        <v>20000</v>
      </c>
      <c r="C48" s="1">
        <v>11844000</v>
      </c>
      <c r="D48" s="1">
        <v>24540000</v>
      </c>
      <c r="E48" s="1">
        <v>45590000</v>
      </c>
      <c r="F48" s="1">
        <v>843383000</v>
      </c>
    </row>
    <row r="49" spans="1:6" ht="19" x14ac:dyDescent="0.25">
      <c r="A49" s="5" t="s">
        <v>41</v>
      </c>
      <c r="B49" s="1" t="s">
        <v>92</v>
      </c>
      <c r="C49" s="1">
        <v>23532000</v>
      </c>
      <c r="D49" s="1">
        <v>1165275000</v>
      </c>
      <c r="E49" s="1">
        <v>1256207000</v>
      </c>
      <c r="F49" s="1">
        <v>1073023000</v>
      </c>
    </row>
    <row r="50" spans="1:6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</row>
    <row r="51" spans="1:6" ht="19" x14ac:dyDescent="0.25">
      <c r="A51" s="5" t="s">
        <v>43</v>
      </c>
      <c r="B51" s="1">
        <v>42560000</v>
      </c>
      <c r="C51" s="1">
        <v>89038000</v>
      </c>
      <c r="D51" s="1">
        <v>175486000</v>
      </c>
      <c r="E51" s="1">
        <v>453823000</v>
      </c>
      <c r="F51" s="1">
        <v>429137000</v>
      </c>
    </row>
    <row r="52" spans="1:6" ht="19" x14ac:dyDescent="0.25">
      <c r="A52" s="5" t="s">
        <v>44</v>
      </c>
      <c r="B52" s="1">
        <v>65336000</v>
      </c>
      <c r="C52" s="1">
        <v>347526000</v>
      </c>
      <c r="D52" s="1">
        <v>1621087000</v>
      </c>
      <c r="E52" s="1">
        <v>2051055000</v>
      </c>
      <c r="F52" s="1">
        <v>2737632000</v>
      </c>
    </row>
    <row r="53" spans="1:6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</row>
    <row r="54" spans="1:6" ht="19" x14ac:dyDescent="0.25">
      <c r="A54" s="7" t="s">
        <v>46</v>
      </c>
      <c r="B54" s="11">
        <v>764288000</v>
      </c>
      <c r="C54" s="11">
        <v>1012720000</v>
      </c>
      <c r="D54" s="11">
        <v>5921739000</v>
      </c>
      <c r="E54" s="11">
        <v>6649698000</v>
      </c>
      <c r="F54" s="11">
        <v>7722322000</v>
      </c>
    </row>
    <row r="55" spans="1:6" ht="19" x14ac:dyDescent="0.25">
      <c r="A55" s="5" t="s">
        <v>47</v>
      </c>
      <c r="B55" s="1">
        <v>8258000</v>
      </c>
      <c r="C55" s="1">
        <v>8488000</v>
      </c>
      <c r="D55" s="1">
        <v>5647000</v>
      </c>
      <c r="E55" s="1">
        <v>13441000</v>
      </c>
      <c r="F55" s="1">
        <v>23672000</v>
      </c>
    </row>
    <row r="56" spans="1:6" ht="19" x14ac:dyDescent="0.25">
      <c r="A56" s="5" t="s">
        <v>48</v>
      </c>
      <c r="B56" s="1" t="s">
        <v>92</v>
      </c>
      <c r="C56" s="1" t="s">
        <v>92</v>
      </c>
      <c r="D56" s="1">
        <v>19650000</v>
      </c>
      <c r="E56" s="1">
        <v>25101000</v>
      </c>
      <c r="F56" s="1">
        <v>27301000</v>
      </c>
    </row>
    <row r="57" spans="1:6" ht="19" x14ac:dyDescent="0.25">
      <c r="A57" s="5" t="s">
        <v>49</v>
      </c>
      <c r="B57" s="1" t="s">
        <v>92</v>
      </c>
      <c r="C57" s="1" t="s">
        <v>92</v>
      </c>
      <c r="D57" s="1">
        <v>4498000</v>
      </c>
      <c r="E57" s="1">
        <v>12709000</v>
      </c>
      <c r="F57" s="1" t="s">
        <v>92</v>
      </c>
    </row>
    <row r="58" spans="1:6" ht="19" x14ac:dyDescent="0.25">
      <c r="A58" s="5" t="s">
        <v>50</v>
      </c>
      <c r="B58" s="1">
        <v>104020000</v>
      </c>
      <c r="C58" s="1">
        <v>327058000</v>
      </c>
      <c r="D58" s="1">
        <v>638652000</v>
      </c>
      <c r="E58" s="1">
        <v>1157887000</v>
      </c>
      <c r="F58" s="1">
        <v>1673475000</v>
      </c>
    </row>
    <row r="59" spans="1:6" ht="19" x14ac:dyDescent="0.25">
      <c r="A59" s="5" t="s">
        <v>51</v>
      </c>
      <c r="B59" s="1">
        <v>32627000</v>
      </c>
      <c r="C59" s="1">
        <v>80909000</v>
      </c>
      <c r="D59" s="1">
        <v>120817000</v>
      </c>
      <c r="E59" s="1">
        <v>187955000</v>
      </c>
      <c r="F59" s="1">
        <v>269069000</v>
      </c>
    </row>
    <row r="60" spans="1:6" ht="19" x14ac:dyDescent="0.25">
      <c r="A60" s="6" t="s">
        <v>52</v>
      </c>
      <c r="B60" s="10">
        <v>144905000</v>
      </c>
      <c r="C60" s="10">
        <v>416455000</v>
      </c>
      <c r="D60" s="10">
        <v>789264000</v>
      </c>
      <c r="E60" s="10">
        <v>1397093000</v>
      </c>
      <c r="F60" s="10">
        <v>1993517000</v>
      </c>
    </row>
    <row r="61" spans="1:6" ht="19" x14ac:dyDescent="0.25">
      <c r="A61" s="5" t="s">
        <v>53</v>
      </c>
      <c r="B61" s="1" t="s">
        <v>92</v>
      </c>
      <c r="C61" s="1" t="s">
        <v>92</v>
      </c>
      <c r="D61" s="1">
        <v>184887000</v>
      </c>
      <c r="E61" s="1">
        <v>181196000</v>
      </c>
      <c r="F61" s="1">
        <v>224357000</v>
      </c>
    </row>
    <row r="62" spans="1:6" ht="19" x14ac:dyDescent="0.25">
      <c r="A62" s="5" t="s">
        <v>50</v>
      </c>
      <c r="B62" s="1">
        <v>2984000</v>
      </c>
      <c r="C62" s="1">
        <v>2907000</v>
      </c>
      <c r="D62" s="1">
        <v>4194000</v>
      </c>
      <c r="E62" s="1">
        <v>11180000</v>
      </c>
      <c r="F62" s="1">
        <v>11463000</v>
      </c>
    </row>
    <row r="63" spans="1:6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</row>
    <row r="64" spans="1:6" ht="19" x14ac:dyDescent="0.25">
      <c r="A64" s="5" t="s">
        <v>55</v>
      </c>
      <c r="B64" s="1">
        <v>928866000</v>
      </c>
      <c r="C64" s="1">
        <v>1138115000</v>
      </c>
      <c r="D64" s="1">
        <v>6923000</v>
      </c>
      <c r="E64" s="1">
        <v>11184000</v>
      </c>
      <c r="F64" s="1" t="s">
        <v>92</v>
      </c>
    </row>
    <row r="65" spans="1:6" ht="19" x14ac:dyDescent="0.25">
      <c r="A65" s="5" t="s">
        <v>56</v>
      </c>
      <c r="B65" s="1">
        <v>931850000</v>
      </c>
      <c r="C65" s="1">
        <v>1141022000</v>
      </c>
      <c r="D65" s="1">
        <v>196004000</v>
      </c>
      <c r="E65" s="1">
        <v>203560000</v>
      </c>
      <c r="F65" s="1">
        <v>235820000</v>
      </c>
    </row>
    <row r="66" spans="1:6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</row>
    <row r="67" spans="1:6" ht="19" x14ac:dyDescent="0.25">
      <c r="A67" s="6" t="s">
        <v>58</v>
      </c>
      <c r="B67" s="10">
        <v>1076755000</v>
      </c>
      <c r="C67" s="10">
        <v>1557477000</v>
      </c>
      <c r="D67" s="10">
        <v>985268000</v>
      </c>
      <c r="E67" s="10">
        <v>1600653000</v>
      </c>
      <c r="F67" s="10">
        <v>2229337000</v>
      </c>
    </row>
    <row r="68" spans="1:6" ht="19" x14ac:dyDescent="0.25">
      <c r="A68" s="5" t="s">
        <v>59</v>
      </c>
      <c r="B68" s="1">
        <v>5000</v>
      </c>
      <c r="C68" s="1">
        <v>6000</v>
      </c>
      <c r="D68" s="1">
        <v>28000</v>
      </c>
      <c r="E68" s="1">
        <v>31000</v>
      </c>
      <c r="F68" s="1" t="s">
        <v>92</v>
      </c>
    </row>
    <row r="69" spans="1:6" ht="19" x14ac:dyDescent="0.25">
      <c r="A69" s="5" t="s">
        <v>60</v>
      </c>
      <c r="B69" s="1">
        <v>-351784000</v>
      </c>
      <c r="C69" s="1">
        <v>-700319000</v>
      </c>
      <c r="D69" s="1">
        <v>-1239421000</v>
      </c>
      <c r="E69" s="1">
        <v>-1919369000</v>
      </c>
      <c r="F69" s="1">
        <v>-2716074000</v>
      </c>
    </row>
    <row r="70" spans="1:6" ht="19" x14ac:dyDescent="0.25">
      <c r="A70" s="5" t="s">
        <v>61</v>
      </c>
      <c r="B70" s="1">
        <v>-3802000</v>
      </c>
      <c r="C70" s="1">
        <v>-4932000</v>
      </c>
      <c r="D70" s="1">
        <v>439000</v>
      </c>
      <c r="E70" s="1">
        <v>-16286000</v>
      </c>
      <c r="F70" s="1" t="s">
        <v>92</v>
      </c>
    </row>
    <row r="71" spans="1:6" ht="19" x14ac:dyDescent="0.25">
      <c r="A71" s="5" t="s">
        <v>62</v>
      </c>
      <c r="B71" s="1">
        <v>43114000</v>
      </c>
      <c r="C71" s="1">
        <v>160488000</v>
      </c>
      <c r="D71" s="1">
        <v>6175425000</v>
      </c>
      <c r="E71" s="1">
        <v>6984669000</v>
      </c>
      <c r="F71" s="1">
        <v>2716074000</v>
      </c>
    </row>
    <row r="72" spans="1:6" ht="19" x14ac:dyDescent="0.25">
      <c r="A72" s="6" t="s">
        <v>63</v>
      </c>
      <c r="B72" s="10">
        <v>-312467000</v>
      </c>
      <c r="C72" s="10">
        <v>-544757000</v>
      </c>
      <c r="D72" s="10">
        <v>4936471000</v>
      </c>
      <c r="E72" s="10">
        <v>5049045000</v>
      </c>
      <c r="F72" s="10">
        <v>5456436000</v>
      </c>
    </row>
    <row r="73" spans="1:6" ht="19" x14ac:dyDescent="0.25">
      <c r="A73" s="7" t="s">
        <v>64</v>
      </c>
      <c r="B73" s="11">
        <v>764288000</v>
      </c>
      <c r="C73" s="11">
        <v>1012720000</v>
      </c>
      <c r="D73" s="11">
        <v>5921739000</v>
      </c>
      <c r="E73" s="11">
        <v>6649698000</v>
      </c>
      <c r="F73" s="11">
        <v>7722322000</v>
      </c>
    </row>
    <row r="74" spans="1:6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</row>
    <row r="75" spans="1:6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</row>
    <row r="76" spans="1:6" ht="19" x14ac:dyDescent="0.25">
      <c r="A76" s="5" t="s">
        <v>66</v>
      </c>
      <c r="B76" s="1">
        <v>-178028000</v>
      </c>
      <c r="C76" s="1">
        <v>-348535000</v>
      </c>
      <c r="D76" s="1">
        <v>-539102000</v>
      </c>
      <c r="E76" s="1">
        <v>-679948000</v>
      </c>
      <c r="F76" s="1">
        <v>-797526000</v>
      </c>
    </row>
    <row r="77" spans="1:6" ht="19" x14ac:dyDescent="0.25">
      <c r="A77" s="5" t="s">
        <v>13</v>
      </c>
      <c r="B77" s="1">
        <v>1362000</v>
      </c>
      <c r="C77" s="1">
        <v>3522000</v>
      </c>
      <c r="D77" s="1">
        <v>9826000</v>
      </c>
      <c r="E77" s="1">
        <v>21498000</v>
      </c>
      <c r="F77" s="1">
        <v>67032000</v>
      </c>
    </row>
    <row r="78" spans="1:6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-26425000</v>
      </c>
    </row>
    <row r="79" spans="1:6" ht="19" x14ac:dyDescent="0.25">
      <c r="A79" s="5" t="s">
        <v>68</v>
      </c>
      <c r="B79" s="1">
        <v>22409000</v>
      </c>
      <c r="C79" s="1">
        <v>78399000</v>
      </c>
      <c r="D79" s="1">
        <v>301441000</v>
      </c>
      <c r="E79" s="1">
        <v>605095000</v>
      </c>
      <c r="F79" s="1">
        <v>861533000</v>
      </c>
    </row>
    <row r="80" spans="1:6" ht="19" x14ac:dyDescent="0.25">
      <c r="A80" s="14" t="s">
        <v>105</v>
      </c>
      <c r="B80" s="15">
        <f t="shared" ref="B80:F80" si="6">B79/B3</f>
        <v>0.23181884012993192</v>
      </c>
      <c r="C80" s="15">
        <f t="shared" si="6"/>
        <v>0.29612688292262829</v>
      </c>
      <c r="D80" s="15">
        <f t="shared" si="6"/>
        <v>0.50914873599989185</v>
      </c>
      <c r="E80" s="15">
        <f t="shared" si="6"/>
        <v>0.49625326102021855</v>
      </c>
      <c r="F80" s="15">
        <f t="shared" si="6"/>
        <v>0.41707416374145007</v>
      </c>
    </row>
    <row r="81" spans="1:14" ht="19" x14ac:dyDescent="0.25">
      <c r="A81" s="5" t="s">
        <v>69</v>
      </c>
      <c r="B81" s="1">
        <v>6219000</v>
      </c>
      <c r="C81" s="1">
        <v>49341000</v>
      </c>
      <c r="D81" s="1">
        <v>106892000</v>
      </c>
      <c r="E81" s="1">
        <v>68427000</v>
      </c>
      <c r="F81" s="1">
        <v>441025000</v>
      </c>
    </row>
    <row r="82" spans="1:14" ht="19" x14ac:dyDescent="0.25">
      <c r="A82" s="5" t="s">
        <v>70</v>
      </c>
      <c r="B82" s="1">
        <v>-51421000</v>
      </c>
      <c r="C82" s="1">
        <v>-116869000</v>
      </c>
      <c r="D82" s="1">
        <v>-116289000</v>
      </c>
      <c r="E82" s="1">
        <v>-251652000</v>
      </c>
      <c r="F82" s="1">
        <v>-166965000</v>
      </c>
    </row>
    <row r="83" spans="1:14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M83" s="34" t="s">
        <v>127</v>
      </c>
      <c r="N83" s="35"/>
    </row>
    <row r="84" spans="1:14" ht="19" x14ac:dyDescent="0.25">
      <c r="A84" s="5" t="s">
        <v>47</v>
      </c>
      <c r="B84" s="1">
        <v>5170000</v>
      </c>
      <c r="C84" s="1">
        <v>1116000</v>
      </c>
      <c r="D84" s="1">
        <v>-2878000</v>
      </c>
      <c r="E84" s="1">
        <v>7371000</v>
      </c>
      <c r="F84" s="1">
        <v>8024000</v>
      </c>
      <c r="M84" s="36" t="s">
        <v>128</v>
      </c>
      <c r="N84" s="37"/>
    </row>
    <row r="85" spans="1:14" ht="20" x14ac:dyDescent="0.25">
      <c r="A85" s="5" t="s">
        <v>71</v>
      </c>
      <c r="B85" s="1">
        <v>43287000</v>
      </c>
      <c r="C85" s="1">
        <v>154366000</v>
      </c>
      <c r="D85" s="1">
        <v>261437000</v>
      </c>
      <c r="E85" s="1">
        <v>430344000</v>
      </c>
      <c r="F85" s="1" t="s">
        <v>92</v>
      </c>
      <c r="M85" s="24" t="s">
        <v>129</v>
      </c>
      <c r="N85" s="25">
        <f>F17</f>
        <v>73839000</v>
      </c>
    </row>
    <row r="86" spans="1:14" ht="20" x14ac:dyDescent="0.25">
      <c r="A86" s="5" t="s">
        <v>72</v>
      </c>
      <c r="B86" s="1">
        <v>4056000</v>
      </c>
      <c r="C86" s="1">
        <v>40715000</v>
      </c>
      <c r="D86" s="1">
        <v>75526000</v>
      </c>
      <c r="E86" s="1">
        <v>95107000</v>
      </c>
      <c r="F86" s="1" t="s">
        <v>92</v>
      </c>
      <c r="M86" s="24" t="s">
        <v>130</v>
      </c>
      <c r="N86" s="25">
        <f>F56</f>
        <v>27301000</v>
      </c>
    </row>
    <row r="87" spans="1:14" ht="20" x14ac:dyDescent="0.25">
      <c r="A87" s="6" t="s">
        <v>73</v>
      </c>
      <c r="B87" s="10">
        <v>-143982000</v>
      </c>
      <c r="C87" s="10">
        <v>-176558000</v>
      </c>
      <c r="D87" s="10">
        <v>-45417000</v>
      </c>
      <c r="E87" s="10">
        <v>110179000</v>
      </c>
      <c r="F87" s="10">
        <v>545639000</v>
      </c>
      <c r="M87" s="24" t="s">
        <v>131</v>
      </c>
      <c r="N87" s="25">
        <f>F61</f>
        <v>224357000</v>
      </c>
    </row>
    <row r="88" spans="1:14" ht="20" x14ac:dyDescent="0.25">
      <c r="A88" s="5" t="s">
        <v>74</v>
      </c>
      <c r="B88" s="1">
        <v>-4016000</v>
      </c>
      <c r="C88" s="1">
        <v>-22848000</v>
      </c>
      <c r="D88" s="1">
        <v>-35037000</v>
      </c>
      <c r="E88" s="1">
        <v>-16221000</v>
      </c>
      <c r="F88" s="1">
        <v>-25128000</v>
      </c>
      <c r="M88" s="38" t="s">
        <v>132</v>
      </c>
      <c r="N88" s="39">
        <f>N85/(N86+N87)</f>
        <v>0.29341010418901842</v>
      </c>
    </row>
    <row r="89" spans="1:14" ht="20" customHeight="1" x14ac:dyDescent="0.25">
      <c r="A89" s="14" t="s">
        <v>106</v>
      </c>
      <c r="B89" s="15">
        <f t="shared" ref="B89:F89" si="7">(-1*B88)/B3</f>
        <v>4.1545114104235205E-2</v>
      </c>
      <c r="C89" s="15">
        <f t="shared" si="7"/>
        <v>8.6300935228972461E-2</v>
      </c>
      <c r="D89" s="15">
        <f t="shared" si="7"/>
        <v>5.9179223341311274E-2</v>
      </c>
      <c r="E89" s="15">
        <f t="shared" si="7"/>
        <v>1.3303240230061337E-2</v>
      </c>
      <c r="F89" s="15">
        <f t="shared" si="7"/>
        <v>1.2164640920887716E-2</v>
      </c>
      <c r="M89" s="24" t="s">
        <v>107</v>
      </c>
      <c r="N89" s="25">
        <f>F27</f>
        <v>18467000</v>
      </c>
    </row>
    <row r="90" spans="1:14" ht="20" x14ac:dyDescent="0.25">
      <c r="A90" s="5" t="s">
        <v>75</v>
      </c>
      <c r="B90" s="1" t="s">
        <v>92</v>
      </c>
      <c r="C90" s="1" t="s">
        <v>92</v>
      </c>
      <c r="D90" s="1">
        <v>-6035000</v>
      </c>
      <c r="E90" s="1" t="s">
        <v>92</v>
      </c>
      <c r="F90" s="1">
        <v>-362609000</v>
      </c>
      <c r="M90" s="24" t="s">
        <v>19</v>
      </c>
      <c r="N90" s="25">
        <f>F25</f>
        <v>-815993000</v>
      </c>
    </row>
    <row r="91" spans="1:14" ht="20" x14ac:dyDescent="0.25">
      <c r="A91" s="5" t="s">
        <v>76</v>
      </c>
      <c r="B91" s="1">
        <v>-738383000</v>
      </c>
      <c r="C91" s="1">
        <v>-622854000</v>
      </c>
      <c r="D91" s="1">
        <v>-4859852000</v>
      </c>
      <c r="E91" s="1">
        <v>-4250338000</v>
      </c>
      <c r="F91" s="1">
        <v>-3854886000</v>
      </c>
      <c r="M91" s="38" t="s">
        <v>133</v>
      </c>
      <c r="N91" s="39">
        <f>N89/N90</f>
        <v>-2.263132159221954E-2</v>
      </c>
    </row>
    <row r="92" spans="1:14" ht="20" x14ac:dyDescent="0.25">
      <c r="A92" s="5" t="s">
        <v>77</v>
      </c>
      <c r="B92" s="1">
        <v>379757000</v>
      </c>
      <c r="C92" s="1">
        <v>790511000</v>
      </c>
      <c r="D92" s="1">
        <v>877946000</v>
      </c>
      <c r="E92" s="1">
        <v>4282865000</v>
      </c>
      <c r="F92" s="1">
        <v>3715885000</v>
      </c>
      <c r="M92" s="40" t="s">
        <v>134</v>
      </c>
      <c r="N92" s="41">
        <f>N88*(1-N91)</f>
        <v>0.30005036261532675</v>
      </c>
    </row>
    <row r="93" spans="1:14" ht="19" x14ac:dyDescent="0.25">
      <c r="A93" s="5" t="s">
        <v>78</v>
      </c>
      <c r="B93" s="1" t="s">
        <v>92</v>
      </c>
      <c r="C93" s="1">
        <v>-6314000</v>
      </c>
      <c r="D93" s="1">
        <v>-13667000</v>
      </c>
      <c r="E93" s="1">
        <v>-37106000</v>
      </c>
      <c r="F93" s="1">
        <v>-71147000</v>
      </c>
      <c r="M93" s="36" t="s">
        <v>135</v>
      </c>
      <c r="N93" s="37"/>
    </row>
    <row r="94" spans="1:14" ht="20" x14ac:dyDescent="0.25">
      <c r="A94" s="6" t="s">
        <v>79</v>
      </c>
      <c r="B94" s="10">
        <v>-362642000</v>
      </c>
      <c r="C94" s="10">
        <v>138495000</v>
      </c>
      <c r="D94" s="10">
        <v>-4036645000</v>
      </c>
      <c r="E94" s="10">
        <v>-20800000</v>
      </c>
      <c r="F94" s="10">
        <v>-597885000</v>
      </c>
      <c r="M94" s="24" t="s">
        <v>136</v>
      </c>
      <c r="N94" s="42">
        <v>4.095E-2</v>
      </c>
    </row>
    <row r="95" spans="1:14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M95" s="43" t="s">
        <v>137</v>
      </c>
      <c r="N95" s="44">
        <v>0.75</v>
      </c>
    </row>
    <row r="96" spans="1:14" ht="20" x14ac:dyDescent="0.25">
      <c r="A96" s="5" t="s">
        <v>81</v>
      </c>
      <c r="B96" s="1" t="s">
        <v>92</v>
      </c>
      <c r="C96" s="1" t="s">
        <v>92</v>
      </c>
      <c r="D96" s="1">
        <v>4242284000</v>
      </c>
      <c r="E96" s="1" t="s">
        <v>92</v>
      </c>
      <c r="F96" s="1" t="s">
        <v>92</v>
      </c>
      <c r="M96" s="24" t="s">
        <v>138</v>
      </c>
      <c r="N96" s="42">
        <v>8.4000000000000005E-2</v>
      </c>
    </row>
    <row r="97" spans="1:14" ht="20" x14ac:dyDescent="0.25">
      <c r="A97" s="5" t="s">
        <v>82</v>
      </c>
      <c r="B97" s="1">
        <v>-29644000</v>
      </c>
      <c r="C97" s="1" t="s">
        <v>92</v>
      </c>
      <c r="D97" s="1" t="s">
        <v>92</v>
      </c>
      <c r="E97" s="1" t="s">
        <v>92</v>
      </c>
      <c r="F97" s="1" t="s">
        <v>92</v>
      </c>
      <c r="M97" s="40" t="s">
        <v>139</v>
      </c>
      <c r="N97" s="41">
        <f>(N94)+((N95)*(N96-N94))</f>
        <v>7.3237500000000011E-2</v>
      </c>
    </row>
    <row r="98" spans="1:14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M98" s="36" t="s">
        <v>140</v>
      </c>
      <c r="N98" s="37"/>
    </row>
    <row r="99" spans="1:14" ht="20" x14ac:dyDescent="0.25">
      <c r="A99" s="5" t="s">
        <v>84</v>
      </c>
      <c r="B99" s="1">
        <v>443245000</v>
      </c>
      <c r="C99" s="1">
        <v>57469000</v>
      </c>
      <c r="D99" s="1">
        <v>533006000</v>
      </c>
      <c r="E99" s="1">
        <v>178198000</v>
      </c>
      <c r="F99" s="1">
        <v>-92624000</v>
      </c>
      <c r="M99" s="24" t="s">
        <v>141</v>
      </c>
      <c r="N99" s="25">
        <f>N86+N87</f>
        <v>251658000</v>
      </c>
    </row>
    <row r="100" spans="1:14" ht="20" x14ac:dyDescent="0.25">
      <c r="A100" s="6" t="s">
        <v>85</v>
      </c>
      <c r="B100" s="10">
        <v>413601000</v>
      </c>
      <c r="C100" s="10">
        <v>57469000</v>
      </c>
      <c r="D100" s="10">
        <v>4775290000</v>
      </c>
      <c r="E100" s="10">
        <v>178198000</v>
      </c>
      <c r="F100" s="10">
        <v>-92624000</v>
      </c>
      <c r="M100" s="38" t="s">
        <v>142</v>
      </c>
      <c r="N100" s="39">
        <f>N99/N103</f>
        <v>5.7945644872285105E-3</v>
      </c>
    </row>
    <row r="101" spans="1:14" ht="20" x14ac:dyDescent="0.25">
      <c r="A101" s="5" t="s">
        <v>86</v>
      </c>
      <c r="B101" s="1" t="s">
        <v>92</v>
      </c>
      <c r="C101" s="1" t="s">
        <v>92</v>
      </c>
      <c r="D101" s="1">
        <v>-11000</v>
      </c>
      <c r="E101" s="1">
        <v>-236000</v>
      </c>
      <c r="F101" s="1">
        <v>-933000</v>
      </c>
      <c r="M101" s="24" t="s">
        <v>143</v>
      </c>
      <c r="N101" s="45">
        <f>H116*F34</f>
        <v>43178353100</v>
      </c>
    </row>
    <row r="102" spans="1:14" ht="20" x14ac:dyDescent="0.25">
      <c r="A102" s="6" t="s">
        <v>87</v>
      </c>
      <c r="B102" s="10">
        <v>-93023000</v>
      </c>
      <c r="C102" s="10">
        <v>19406000</v>
      </c>
      <c r="D102" s="10">
        <v>693217000</v>
      </c>
      <c r="E102" s="10">
        <v>267341000</v>
      </c>
      <c r="F102" s="10">
        <v>-145803000</v>
      </c>
      <c r="M102" s="38" t="s">
        <v>144</v>
      </c>
      <c r="N102" s="39">
        <f>N101/N103</f>
        <v>0.99420543551277152</v>
      </c>
    </row>
    <row r="103" spans="1:14" ht="20" x14ac:dyDescent="0.25">
      <c r="A103" s="5" t="s">
        <v>88</v>
      </c>
      <c r="B103" s="1">
        <v>215593000</v>
      </c>
      <c r="C103" s="1">
        <v>122570000</v>
      </c>
      <c r="D103" s="1">
        <v>141976000</v>
      </c>
      <c r="E103" s="1">
        <v>835193000</v>
      </c>
      <c r="F103" s="1">
        <v>1102534000</v>
      </c>
      <c r="M103" s="40" t="s">
        <v>145</v>
      </c>
      <c r="N103" s="46">
        <f>N99+N101</f>
        <v>43430011100</v>
      </c>
    </row>
    <row r="104" spans="1:14" ht="19" x14ac:dyDescent="0.25">
      <c r="A104" s="7" t="s">
        <v>89</v>
      </c>
      <c r="B104" s="11">
        <v>122570000</v>
      </c>
      <c r="C104" s="11">
        <v>141976000</v>
      </c>
      <c r="D104" s="11">
        <v>835193000</v>
      </c>
      <c r="E104" s="11">
        <v>1102534000</v>
      </c>
      <c r="F104" s="11">
        <v>956731000</v>
      </c>
      <c r="M104" s="36" t="s">
        <v>146</v>
      </c>
      <c r="N104" s="37"/>
    </row>
    <row r="105" spans="1:14" ht="20" x14ac:dyDescent="0.25">
      <c r="A105" s="14" t="s">
        <v>108</v>
      </c>
      <c r="B105" s="1"/>
      <c r="C105" s="15">
        <f>(C106/B106)-1</f>
        <v>0.34735604535196418</v>
      </c>
      <c r="D105" s="15">
        <f>(D106/C106)-1</f>
        <v>-0.5279931396246853</v>
      </c>
      <c r="E105" s="15">
        <f>(E106/D106)-1</f>
        <v>-1.6040309813962876</v>
      </c>
      <c r="F105" s="15">
        <f>(F106/E106)-1</f>
        <v>7.7331844086399784</v>
      </c>
      <c r="G105" s="15"/>
      <c r="H105" s="15"/>
      <c r="I105" s="15"/>
      <c r="J105" s="15"/>
      <c r="K105" s="15"/>
      <c r="L105" s="15"/>
      <c r="M105" s="26" t="s">
        <v>109</v>
      </c>
      <c r="N105" s="27">
        <f>(N100*N92)+(N102*N97)</f>
        <v>7.4551781758957422E-2</v>
      </c>
    </row>
    <row r="106" spans="1:14" ht="19" x14ac:dyDescent="0.25">
      <c r="A106" s="5" t="s">
        <v>90</v>
      </c>
      <c r="B106" s="1">
        <v>-147998000</v>
      </c>
      <c r="C106" s="1">
        <v>-199406000</v>
      </c>
      <c r="D106" s="1">
        <v>-94121000</v>
      </c>
      <c r="E106" s="1">
        <v>56852000</v>
      </c>
      <c r="F106" s="1">
        <v>496499000</v>
      </c>
      <c r="G106" s="47">
        <f>F106*(1+$N$106)</f>
        <v>676882897.20404243</v>
      </c>
      <c r="H106" s="47">
        <f t="shared" ref="H106:K106" si="8">G106*(1+$N$106)</f>
        <v>922802375.28643203</v>
      </c>
      <c r="I106" s="47">
        <f t="shared" si="8"/>
        <v>1258067277.7400401</v>
      </c>
      <c r="J106" s="47">
        <f t="shared" si="8"/>
        <v>1715137842.8441567</v>
      </c>
      <c r="K106" s="47">
        <f t="shared" si="8"/>
        <v>2338267493.3255544</v>
      </c>
      <c r="L106" s="48" t="s">
        <v>147</v>
      </c>
      <c r="M106" s="49" t="s">
        <v>148</v>
      </c>
      <c r="N106" s="50">
        <f>(SUM(G4:K4)/5)</f>
        <v>0.36331170295215576</v>
      </c>
    </row>
    <row r="107" spans="1:14" ht="19" x14ac:dyDescent="0.25">
      <c r="A107" s="5"/>
      <c r="B107" s="13"/>
      <c r="C107" s="13"/>
      <c r="D107" s="13"/>
      <c r="E107" s="13"/>
      <c r="F107" s="13"/>
      <c r="G107" s="48"/>
      <c r="H107" s="48"/>
      <c r="I107" s="48"/>
      <c r="J107" s="48"/>
      <c r="K107" s="51">
        <f>K106*(1+N107)/(N108-N107)</f>
        <v>48368072662.199272</v>
      </c>
      <c r="L107" s="52" t="s">
        <v>149</v>
      </c>
      <c r="M107" s="53" t="s">
        <v>150</v>
      </c>
      <c r="N107" s="54">
        <v>2.5000000000000001E-2</v>
      </c>
    </row>
    <row r="108" spans="1:14" ht="19" x14ac:dyDescent="0.25">
      <c r="G108" s="51">
        <f t="shared" ref="G108:I108" si="9">G107+G106</f>
        <v>676882897.20404243</v>
      </c>
      <c r="H108" s="51">
        <f t="shared" si="9"/>
        <v>922802375.28643203</v>
      </c>
      <c r="I108" s="51">
        <f t="shared" si="9"/>
        <v>1258067277.7400401</v>
      </c>
      <c r="J108" s="51">
        <f>J107+J106</f>
        <v>1715137842.8441567</v>
      </c>
      <c r="K108" s="51">
        <f>K107+K106</f>
        <v>50706340155.524826</v>
      </c>
      <c r="L108" s="52" t="s">
        <v>145</v>
      </c>
      <c r="M108" s="55" t="s">
        <v>151</v>
      </c>
      <c r="N108" s="56">
        <f>N105</f>
        <v>7.4551781758957422E-2</v>
      </c>
    </row>
    <row r="109" spans="1:14" ht="19" x14ac:dyDescent="0.25">
      <c r="G109" s="57" t="s">
        <v>152</v>
      </c>
      <c r="H109" s="58"/>
    </row>
    <row r="110" spans="1:14" ht="20" x14ac:dyDescent="0.25">
      <c r="G110" s="59" t="s">
        <v>153</v>
      </c>
      <c r="H110" s="45">
        <f>NPV(N108,G108,H108,I108,J108,K108)</f>
        <v>39123184965.792786</v>
      </c>
    </row>
    <row r="111" spans="1:14" ht="20" x14ac:dyDescent="0.25">
      <c r="G111" s="59" t="s">
        <v>154</v>
      </c>
      <c r="H111" s="45">
        <f>F40</f>
        <v>4007868000</v>
      </c>
    </row>
    <row r="112" spans="1:14" ht="20" x14ac:dyDescent="0.25">
      <c r="G112" s="59" t="s">
        <v>141</v>
      </c>
      <c r="H112" s="45">
        <f>N99</f>
        <v>251658000</v>
      </c>
    </row>
    <row r="113" spans="7:8" ht="20" x14ac:dyDescent="0.25">
      <c r="G113" s="59" t="s">
        <v>155</v>
      </c>
      <c r="H113" s="45">
        <f>H110+H111-H112</f>
        <v>42879394965.792786</v>
      </c>
    </row>
    <row r="114" spans="7:8" ht="20" x14ac:dyDescent="0.25">
      <c r="G114" s="59" t="s">
        <v>160</v>
      </c>
      <c r="H114" s="60">
        <f>F34*(1+(5*L16))</f>
        <v>641675501.61867034</v>
      </c>
    </row>
    <row r="115" spans="7:8" ht="20" x14ac:dyDescent="0.25">
      <c r="G115" s="61" t="s">
        <v>156</v>
      </c>
      <c r="H115" s="62">
        <f>H113/H114</f>
        <v>66.824111030616848</v>
      </c>
    </row>
    <row r="116" spans="7:8" ht="20" x14ac:dyDescent="0.25">
      <c r="G116" s="63" t="s">
        <v>157</v>
      </c>
      <c r="H116" s="64">
        <v>135.47</v>
      </c>
    </row>
    <row r="117" spans="7:8" ht="20" x14ac:dyDescent="0.25">
      <c r="G117" s="65" t="s">
        <v>158</v>
      </c>
      <c r="H117" s="66">
        <f>H115/H116-1</f>
        <v>-0.50672391650832771</v>
      </c>
    </row>
    <row r="118" spans="7:8" ht="20" x14ac:dyDescent="0.25">
      <c r="G118" s="65" t="s">
        <v>159</v>
      </c>
      <c r="H118" s="67" t="str">
        <f>IF(H115&gt;H116,"BUY","SELL")</f>
        <v>SELL</v>
      </c>
    </row>
  </sheetData>
  <mergeCells count="6">
    <mergeCell ref="M83:N83"/>
    <mergeCell ref="M84:N84"/>
    <mergeCell ref="M93:N93"/>
    <mergeCell ref="M98:N98"/>
    <mergeCell ref="M104:N104"/>
    <mergeCell ref="G109:H109"/>
  </mergeCells>
  <hyperlinks>
    <hyperlink ref="A1" r:id="rId1" tooltip="https://roic.ai/company/SNOW" display="ROIC.AI | SNOW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www.sec.gov/Archives/edgar/data/1640147/000164014721000073/0001640147-21-000073-index.htm" xr:uid="{00000000-0004-0000-0000-000007000000}"/>
    <hyperlink ref="D74" r:id="rId7" tooltip="https://www.sec.gov/Archives/edgar/data/1640147/000164014721000073/0001640147-21-000073-index.htm" xr:uid="{00000000-0004-0000-0000-000008000000}"/>
    <hyperlink ref="E36" r:id="rId8" tooltip="https://www.sec.gov/Archives/edgar/data/1640147/000164014722000023/0001640147-22-000023-index.htm" xr:uid="{00000000-0004-0000-0000-00000A000000}"/>
    <hyperlink ref="E74" r:id="rId9" tooltip="https://www.sec.gov/Archives/edgar/data/1640147/000164014722000023/0001640147-22-000023-index.htm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1" r:id="rId12" display="https://finbox.com/NYSE:SNOW/explorer/revenue_proj" xr:uid="{FA4426A0-FAF6-4642-9E9F-62F1F6F87EC2}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2023-03-13T17:51:05Z</dcterms:created>
  <dcterms:modified xsi:type="dcterms:W3CDTF">2023-03-20T22:53:03Z</dcterms:modified>
</cp:coreProperties>
</file>