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028E8FEB-FE0D-BC4C-9063-9A3CC3B91510}" xr6:coauthVersionLast="47" xr6:coauthVersionMax="47" xr10:uidLastSave="{00000000-0000-0000-0000-000000000000}"/>
  <bookViews>
    <workbookView xWindow="24680" yWindow="500" windowWidth="2650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1'!$B$106:$M$106</definedName>
    <definedName name="_xlchart.v1.15" hidden="1">'Sheet 1'!$B$19:$M$19</definedName>
    <definedName name="_xlchart.v1.16" hidden="1">'Sheet 1'!$B$3:$M$3</definedName>
    <definedName name="_xlchart.v1.2" hidden="1">'Sheet 1'!$B$106:$M$106</definedName>
    <definedName name="_xlchart.v1.3" hidden="1">'Sheet 1'!$B$19:$M$19</definedName>
    <definedName name="_xlchart.v1.4" hidden="1">'Sheet 1'!$B$3:$M$3</definedName>
    <definedName name="_xlchart.v2.10" hidden="1">'Sheet 1'!$B$3:$M$3</definedName>
    <definedName name="_xlchart.v2.5" hidden="1">'Sheet 1'!$A$106</definedName>
    <definedName name="_xlchart.v2.6" hidden="1">'Sheet 1'!$A$19</definedName>
    <definedName name="_xlchart.v2.7" hidden="1">'Sheet 1'!$A$3</definedName>
    <definedName name="_xlchart.v2.8" hidden="1">'Sheet 1'!$B$106:$M$106</definedName>
    <definedName name="_xlchart.v2.9" hidden="1">'Sheet 1'!$B$19:$M$19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1" l="1"/>
  <c r="P106" i="1" s="1"/>
  <c r="Q106" i="1" s="1"/>
  <c r="R106" i="1" s="1"/>
  <c r="N106" i="1"/>
  <c r="O114" i="1"/>
  <c r="O111" i="1"/>
  <c r="U101" i="1"/>
  <c r="U16" i="1" s="1"/>
  <c r="U97" i="1"/>
  <c r="U90" i="1"/>
  <c r="U89" i="1"/>
  <c r="U91" i="1" s="1"/>
  <c r="U87" i="1"/>
  <c r="U86" i="1"/>
  <c r="U99" i="1" s="1"/>
  <c r="U85" i="1"/>
  <c r="U88" i="1" s="1"/>
  <c r="S19" i="1"/>
  <c r="S16" i="1"/>
  <c r="V13" i="1"/>
  <c r="U13" i="1"/>
  <c r="T13" i="1"/>
  <c r="S13" i="1"/>
  <c r="V10" i="1"/>
  <c r="U10" i="1"/>
  <c r="T10" i="1"/>
  <c r="S10" i="1"/>
  <c r="V7" i="1"/>
  <c r="U7" i="1"/>
  <c r="T7" i="1"/>
  <c r="S7" i="1"/>
  <c r="V4" i="1"/>
  <c r="U4" i="1"/>
  <c r="T4" i="1"/>
  <c r="S4" i="1"/>
  <c r="R4" i="1"/>
  <c r="Q4" i="1"/>
  <c r="P4" i="1"/>
  <c r="U106" i="1" s="1"/>
  <c r="O4" i="1"/>
  <c r="N4" i="1"/>
  <c r="M9" i="1"/>
  <c r="M13" i="1"/>
  <c r="M20" i="1"/>
  <c r="M29" i="1"/>
  <c r="M35" i="1"/>
  <c r="M80" i="1"/>
  <c r="M89" i="1"/>
  <c r="M105" i="1"/>
  <c r="L105" i="1"/>
  <c r="K105" i="1"/>
  <c r="J105" i="1"/>
  <c r="I105" i="1"/>
  <c r="H105" i="1"/>
  <c r="G105" i="1"/>
  <c r="F105" i="1"/>
  <c r="E105" i="1"/>
  <c r="D105" i="1"/>
  <c r="C105" i="1"/>
  <c r="L89" i="1"/>
  <c r="K89" i="1"/>
  <c r="J89" i="1"/>
  <c r="I89" i="1"/>
  <c r="H89" i="1"/>
  <c r="G89" i="1"/>
  <c r="F89" i="1"/>
  <c r="E89" i="1"/>
  <c r="D89" i="1"/>
  <c r="C89" i="1"/>
  <c r="B89" i="1"/>
  <c r="L80" i="1"/>
  <c r="K80" i="1"/>
  <c r="J80" i="1"/>
  <c r="I80" i="1"/>
  <c r="H80" i="1"/>
  <c r="G80" i="1"/>
  <c r="F80" i="1"/>
  <c r="E80" i="1"/>
  <c r="D80" i="1"/>
  <c r="C80" i="1"/>
  <c r="B80" i="1"/>
  <c r="L35" i="1"/>
  <c r="K35" i="1"/>
  <c r="J35" i="1"/>
  <c r="I35" i="1"/>
  <c r="H35" i="1"/>
  <c r="G35" i="1"/>
  <c r="F35" i="1"/>
  <c r="E35" i="1"/>
  <c r="D35" i="1"/>
  <c r="C35" i="1"/>
  <c r="L29" i="1"/>
  <c r="K29" i="1"/>
  <c r="J29" i="1"/>
  <c r="I29" i="1"/>
  <c r="H29" i="1"/>
  <c r="G29" i="1"/>
  <c r="F29" i="1"/>
  <c r="E29" i="1"/>
  <c r="D29" i="1"/>
  <c r="C29" i="1"/>
  <c r="L20" i="1"/>
  <c r="K20" i="1"/>
  <c r="J20" i="1"/>
  <c r="I20" i="1"/>
  <c r="H20" i="1"/>
  <c r="G20" i="1"/>
  <c r="F20" i="1"/>
  <c r="E20" i="1"/>
  <c r="D20" i="1"/>
  <c r="C20" i="1"/>
  <c r="L13" i="1"/>
  <c r="K13" i="1"/>
  <c r="J13" i="1"/>
  <c r="I13" i="1"/>
  <c r="H13" i="1"/>
  <c r="G13" i="1"/>
  <c r="F13" i="1"/>
  <c r="E13" i="1"/>
  <c r="D13" i="1"/>
  <c r="C13" i="1"/>
  <c r="B13" i="1"/>
  <c r="L9" i="1"/>
  <c r="K9" i="1"/>
  <c r="J9" i="1"/>
  <c r="I9" i="1"/>
  <c r="H9" i="1"/>
  <c r="G9" i="1"/>
  <c r="F9" i="1"/>
  <c r="E9" i="1"/>
  <c r="D9" i="1"/>
  <c r="C9" i="1"/>
  <c r="B9" i="1"/>
  <c r="M4" i="1"/>
  <c r="L4" i="1"/>
  <c r="K4" i="1"/>
  <c r="J4" i="1"/>
  <c r="I4" i="1"/>
  <c r="H4" i="1"/>
  <c r="G4" i="1"/>
  <c r="F4" i="1"/>
  <c r="E4" i="1"/>
  <c r="D4" i="1"/>
  <c r="C4" i="1"/>
  <c r="T16" i="1" l="1"/>
  <c r="V16" i="1"/>
  <c r="O112" i="1"/>
  <c r="U103" i="1"/>
  <c r="U102" i="1" s="1"/>
  <c r="O108" i="1"/>
  <c r="U92" i="1"/>
  <c r="N108" i="1"/>
  <c r="P108" i="1" l="1"/>
  <c r="U100" i="1"/>
  <c r="U105" i="1" s="1"/>
  <c r="U108" i="1" s="1"/>
  <c r="R107" i="1" l="1"/>
  <c r="R108" i="1" s="1"/>
  <c r="Q108" i="1"/>
  <c r="O110" i="1" s="1"/>
  <c r="O113" i="1" s="1"/>
  <c r="O115" i="1" s="1"/>
  <c r="O118" i="1" l="1"/>
  <c r="O117" i="1"/>
</calcChain>
</file>

<file path=xl/sharedStrings.xml><?xml version="1.0" encoding="utf-8"?>
<sst xmlns="http://schemas.openxmlformats.org/spreadsheetml/2006/main" count="419" uniqueCount="161">
  <si>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</si>
  <si>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</si>
  <si>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</si>
  <si>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</si>
  <si>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</si>
  <si>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</si>
  <si>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</si>
  <si>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</si>
  <si>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</si>
  <si>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</si>
  <si>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</si>
  <si>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</si>
  <si>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</si>
  <si>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</si>
  <si>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</si>
  <si>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</si>
  <si>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</si>
  <si>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</si>
  <si>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</si>
  <si>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</si>
  <si>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</si>
  <si>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</si>
  <si>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</si>
  <si>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</si>
  <si>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</si>
  <si>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</si>
  <si>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</si>
  <si>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</si>
  <si>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</si>
  <si>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</si>
  <si>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</si>
  <si>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</si>
  <si>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</si>
  <si>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</si>
  <si>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</si>
  <si>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</si>
  <si>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</si>
  <si>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</si>
  <si>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</si>
  <si>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</si>
  <si>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</si>
  <si>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</si>
  <si>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</si>
  <si>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</si>
  <si>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</si>
  <si>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</si>
  <si>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</si>
  <si>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</si>
  <si>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</si>
  <si>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</si>
  <si>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</si>
  <si>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</si>
  <si>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</si>
  <si>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</si>
  <si>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</si>
  <si>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</si>
  <si>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</si>
  <si>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</si>
  <si>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</si>
  <si>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</si>
  <si>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</si>
  <si>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</si>
  <si>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</si>
  <si>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</si>
  <si>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</si>
  <si>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</si>
  <si>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</si>
  <si>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</si>
  <si>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</si>
  <si>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</si>
  <si>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</si>
  <si>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</si>
  <si>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</si>
  <si>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</si>
  <si>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</si>
  <si>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</si>
  <si>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</si>
  <si>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</si>
  <si>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</si>
  <si>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</si>
  <si>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</si>
  <si>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</si>
  <si>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</si>
  <si>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</si>
  <si>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</si>
  <si>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</si>
  <si>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</si>
  <si>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</si>
  <si>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</si>
  <si>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</si>
  <si>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</si>
  <si>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</si>
  <si>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</si>
  <si>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</si>
  <si>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Hubspot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</si>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</sst>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4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HUBS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28457978726895E-2"/>
          <c:y val="0.10733813689728632"/>
          <c:w val="0.85663522826232263"/>
          <c:h val="0.75576423388012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1'!$B$3:$M$3</c:f>
              <c:numCache>
                <c:formatCode>#,###,,;\(#,###,,\);\ \-\ \-</c:formatCode>
                <c:ptCount val="12"/>
                <c:pt idx="0">
                  <c:v>28553000</c:v>
                </c:pt>
                <c:pt idx="1">
                  <c:v>51604000</c:v>
                </c:pt>
                <c:pt idx="2">
                  <c:v>77634000</c:v>
                </c:pt>
                <c:pt idx="3">
                  <c:v>115876000</c:v>
                </c:pt>
                <c:pt idx="4">
                  <c:v>181943000</c:v>
                </c:pt>
                <c:pt idx="5">
                  <c:v>270967000</c:v>
                </c:pt>
                <c:pt idx="6">
                  <c:v>375612000</c:v>
                </c:pt>
                <c:pt idx="7">
                  <c:v>512980000</c:v>
                </c:pt>
                <c:pt idx="8">
                  <c:v>674860000</c:v>
                </c:pt>
                <c:pt idx="9">
                  <c:v>883026000</c:v>
                </c:pt>
                <c:pt idx="10">
                  <c:v>1300658000</c:v>
                </c:pt>
                <c:pt idx="11">
                  <c:v>1730969000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D-7D46-A56F-4934FA59D6D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1'!$B$19:$M$19</c:f>
              <c:numCache>
                <c:formatCode>#,###,,;\(#,###,,\);\ \-\ \-</c:formatCode>
                <c:ptCount val="12"/>
                <c:pt idx="0">
                  <c:v>-22490000</c:v>
                </c:pt>
                <c:pt idx="1">
                  <c:v>-15979000</c:v>
                </c:pt>
                <c:pt idx="2">
                  <c:v>-29782000</c:v>
                </c:pt>
                <c:pt idx="3">
                  <c:v>-42285000</c:v>
                </c:pt>
                <c:pt idx="4">
                  <c:v>-38113000</c:v>
                </c:pt>
                <c:pt idx="5">
                  <c:v>-33587000</c:v>
                </c:pt>
                <c:pt idx="6">
                  <c:v>-21072000</c:v>
                </c:pt>
                <c:pt idx="7">
                  <c:v>-17146000</c:v>
                </c:pt>
                <c:pt idx="8">
                  <c:v>838000</c:v>
                </c:pt>
                <c:pt idx="9">
                  <c:v>-6706000</c:v>
                </c:pt>
                <c:pt idx="10">
                  <c:v>1623000</c:v>
                </c:pt>
                <c:pt idx="11">
                  <c:v>-42780000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D-7D46-A56F-4934FA59D6D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1'!$B$106:$M$106</c:f>
              <c:numCache>
                <c:formatCode>#,###,,;\(#,###,,\);\ \-\ \-</c:formatCode>
                <c:ptCount val="12"/>
                <c:pt idx="0">
                  <c:v>-15385000</c:v>
                </c:pt>
                <c:pt idx="1">
                  <c:v>-8390000</c:v>
                </c:pt>
                <c:pt idx="2">
                  <c:v>-27788000</c:v>
                </c:pt>
                <c:pt idx="3">
                  <c:v>-24444000</c:v>
                </c:pt>
                <c:pt idx="4">
                  <c:v>-13164000</c:v>
                </c:pt>
                <c:pt idx="5">
                  <c:v>-2172000</c:v>
                </c:pt>
                <c:pt idx="6">
                  <c:v>22267000</c:v>
                </c:pt>
                <c:pt idx="7">
                  <c:v>51378000</c:v>
                </c:pt>
                <c:pt idx="8">
                  <c:v>65127000</c:v>
                </c:pt>
                <c:pt idx="9">
                  <c:v>30040000</c:v>
                </c:pt>
                <c:pt idx="10">
                  <c:v>176863000</c:v>
                </c:pt>
                <c:pt idx="11">
                  <c:v>191403000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D-7D46-A56F-4934FA59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0983567"/>
        <c:axId val="1860985295"/>
      </c:barChart>
      <c:catAx>
        <c:axId val="18609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5295"/>
        <c:crosses val="autoZero"/>
        <c:auto val="1"/>
        <c:lblAlgn val="ctr"/>
        <c:lblOffset val="100"/>
        <c:noMultiLvlLbl val="0"/>
      </c:catAx>
      <c:valAx>
        <c:axId val="18609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34772530679875"/>
          <c:y val="0.91834838554815934"/>
          <c:w val="0.30330444518106042"/>
          <c:h val="4.4634739111612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</xdr:colOff>
      <xdr:row>108</xdr:row>
      <xdr:rowOff>25399</xdr:rowOff>
    </xdr:from>
    <xdr:to>
      <xdr:col>20</xdr:col>
      <xdr:colOff>1603374</xdr:colOff>
      <xdr:row>134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F9A0D-E50D-F0C5-180F-3EBFB42C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404655/000119312515079000/0001193125-15-079000-index.htm" TargetMode="External"/><Relationship Id="rId13" Type="http://schemas.openxmlformats.org/officeDocument/2006/relationships/hyperlink" Target="https://www.sec.gov/Archives/edgar/data/1404655/000156459017001694/0001564590-17-001694-index.htm" TargetMode="External"/><Relationship Id="rId18" Type="http://schemas.openxmlformats.org/officeDocument/2006/relationships/hyperlink" Target="https://www.sec.gov/Archives/edgar/data/1404655/000156459020004381/0001564590-20-004381-index.htm" TargetMode="External"/><Relationship Id="rId26" Type="http://schemas.openxmlformats.org/officeDocument/2006/relationships/hyperlink" Target="https://finbox.com/NYSE:HUBS/explorer/revenue_proj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404655/000156459021006083/0001564590-21-006083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4655/000156459017001694/0001564590-17-001694-index.htm" TargetMode="External"/><Relationship Id="rId17" Type="http://schemas.openxmlformats.org/officeDocument/2006/relationships/hyperlink" Target="https://www.sec.gov/Archives/edgar/data/1404655/000156459019002699/0001564590-19-002699-index.htm" TargetMode="External"/><Relationship Id="rId25" Type="http://schemas.openxmlformats.org/officeDocument/2006/relationships/hyperlink" Target="https://www.sec.gov/Archives/edgar/data/1404655/000095017023003077/0000950170-23-003077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04655/000156459019002699/0001564590-19-002699-index.htm" TargetMode="External"/><Relationship Id="rId20" Type="http://schemas.openxmlformats.org/officeDocument/2006/relationships/hyperlink" Target="https://www.sec.gov/Archives/edgar/data/1404655/000156459021006083/0001564590-21-006083-index.htm" TargetMode="External"/><Relationship Id="rId1" Type="http://schemas.openxmlformats.org/officeDocument/2006/relationships/hyperlink" Target="https://roic.ai/company/HUBS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404655/000156459016013204/0001564590-16-013204-index.htm" TargetMode="External"/><Relationship Id="rId24" Type="http://schemas.openxmlformats.org/officeDocument/2006/relationships/hyperlink" Target="https://www.sec.gov/Archives/edgar/data/1404655/000095017023003077/0000950170-23-003077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04655/000156459018001962/0001564590-18-001962-index.htm" TargetMode="External"/><Relationship Id="rId23" Type="http://schemas.openxmlformats.org/officeDocument/2006/relationships/hyperlink" Target="https://www.sec.gov/Archives/edgar/data/1404655/000095017022001221/0000950170-22-001221-index.htm" TargetMode="External"/><Relationship Id="rId10" Type="http://schemas.openxmlformats.org/officeDocument/2006/relationships/hyperlink" Target="https://www.sec.gov/Archives/edgar/data/1404655/000156459016013204/0001564590-16-013204-index.htm" TargetMode="External"/><Relationship Id="rId19" Type="http://schemas.openxmlformats.org/officeDocument/2006/relationships/hyperlink" Target="https://www.sec.gov/Archives/edgar/data/1404655/000156459020004381/0001564590-20-004381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404655/000119312515079000/0001193125-15-079000-index.htm" TargetMode="External"/><Relationship Id="rId14" Type="http://schemas.openxmlformats.org/officeDocument/2006/relationships/hyperlink" Target="https://www.sec.gov/Archives/edgar/data/1404655/000156459018001962/0001564590-18-001962-index.htm" TargetMode="External"/><Relationship Id="rId22" Type="http://schemas.openxmlformats.org/officeDocument/2006/relationships/hyperlink" Target="https://www.sec.gov/Archives/edgar/data/1404655/000095017022001221/0000950170-22-001221-index.htm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K67" activePane="bottomRight" state="frozen"/>
      <selection pane="topRight"/>
      <selection pane="bottomLeft"/>
      <selection pane="bottomRight" activeCell="O96" sqref="O96"/>
    </sheetView>
  </sheetViews>
  <sheetFormatPr baseColWidth="10" defaultRowHeight="16" x14ac:dyDescent="0.2"/>
  <cols>
    <col min="1" max="1" width="50" customWidth="1"/>
    <col min="2" max="13" width="15" customWidth="1"/>
    <col min="14" max="22" width="21" customWidth="1"/>
  </cols>
  <sheetData>
    <row r="1" spans="1:38" ht="22" thickBot="1" x14ac:dyDescent="0.3">
      <c r="A1" s="3" t="s">
        <v>94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>
        <v>2019</v>
      </c>
      <c r="K1" s="8">
        <v>2020</v>
      </c>
      <c r="L1" s="8">
        <v>2021</v>
      </c>
      <c r="M1" s="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/>
      <c r="R2" s="9"/>
      <c r="S2" s="9"/>
      <c r="T2" s="9"/>
      <c r="U2" s="9"/>
      <c r="V2" s="9"/>
    </row>
    <row r="3" spans="1:38" ht="40" x14ac:dyDescent="0.25">
      <c r="A3" s="5" t="s">
        <v>1</v>
      </c>
      <c r="B3" s="1">
        <v>28553000</v>
      </c>
      <c r="C3" s="1">
        <v>51604000</v>
      </c>
      <c r="D3" s="1">
        <v>77634000</v>
      </c>
      <c r="E3" s="1">
        <v>115876000</v>
      </c>
      <c r="F3" s="1">
        <v>181943000</v>
      </c>
      <c r="G3" s="1">
        <v>270967000</v>
      </c>
      <c r="H3" s="1">
        <v>375612000</v>
      </c>
      <c r="I3" s="1">
        <v>512980000</v>
      </c>
      <c r="J3" s="1">
        <v>674860000</v>
      </c>
      <c r="K3" s="1">
        <v>883026000</v>
      </c>
      <c r="L3" s="1">
        <v>1300658000</v>
      </c>
      <c r="M3" s="1">
        <v>1730969000</v>
      </c>
      <c r="N3" s="29">
        <v>2057000000</v>
      </c>
      <c r="O3" s="29">
        <v>2509000000</v>
      </c>
      <c r="P3" s="29">
        <v>3082000000</v>
      </c>
      <c r="Q3" s="29">
        <v>3713000000</v>
      </c>
      <c r="R3" s="29">
        <v>4412000000</v>
      </c>
      <c r="S3" s="19" t="s">
        <v>110</v>
      </c>
      <c r="T3" s="20" t="s">
        <v>111</v>
      </c>
      <c r="U3" s="20" t="s">
        <v>112</v>
      </c>
      <c r="V3" s="20" t="s">
        <v>113</v>
      </c>
    </row>
    <row r="4" spans="1:38" ht="19" x14ac:dyDescent="0.25">
      <c r="A4" s="14" t="s">
        <v>95</v>
      </c>
      <c r="B4" s="1"/>
      <c r="C4" s="15">
        <f>(C3/B3)-1</f>
        <v>0.80730571218435898</v>
      </c>
      <c r="D4" s="15">
        <f>(D3/C3)-1</f>
        <v>0.5044182621502209</v>
      </c>
      <c r="E4" s="15">
        <f>(E3/D3)-1</f>
        <v>0.49259345132287402</v>
      </c>
      <c r="F4" s="15">
        <f t="shared" ref="F4:R4" si="0">(F3/E3)-1</f>
        <v>0.5701525768925404</v>
      </c>
      <c r="G4" s="16">
        <f t="shared" si="0"/>
        <v>0.48929609822856612</v>
      </c>
      <c r="H4" s="16">
        <f t="shared" si="0"/>
        <v>0.38619093837995022</v>
      </c>
      <c r="I4" s="16">
        <f t="shared" si="0"/>
        <v>0.36571781519227287</v>
      </c>
      <c r="J4" s="16">
        <f t="shared" si="0"/>
        <v>0.31556785839603885</v>
      </c>
      <c r="K4" s="16">
        <f t="shared" si="0"/>
        <v>0.30845805055863429</v>
      </c>
      <c r="L4" s="16">
        <f t="shared" si="0"/>
        <v>0.47295549621415445</v>
      </c>
      <c r="M4" s="16">
        <f t="shared" si="0"/>
        <v>0.33084100509126912</v>
      </c>
      <c r="N4" s="16">
        <f t="shared" si="0"/>
        <v>0.18835172669181244</v>
      </c>
      <c r="O4" s="16">
        <f t="shared" si="0"/>
        <v>0.21973748176956742</v>
      </c>
      <c r="P4" s="16">
        <f t="shared" si="0"/>
        <v>0.22837783977680348</v>
      </c>
      <c r="Q4" s="16">
        <f t="shared" si="0"/>
        <v>0.20473718364698246</v>
      </c>
      <c r="R4" s="16">
        <f t="shared" si="0"/>
        <v>0.1882574737409104</v>
      </c>
      <c r="S4" s="17">
        <f>(M4+L4+K4)/3</f>
        <v>0.37075151728801931</v>
      </c>
      <c r="T4" s="17">
        <f>(M20+L20+K20)/3</f>
        <v>-12.534334632906047</v>
      </c>
      <c r="U4" s="17">
        <f>(M29+L29+K29)/3</f>
        <v>0.31533748055902994</v>
      </c>
      <c r="V4" s="17">
        <f>(M105+L105+K105)/3</f>
        <v>1.4770154587927495</v>
      </c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12080000</v>
      </c>
      <c r="C5" s="1">
        <v>16838000</v>
      </c>
      <c r="D5" s="1">
        <v>29039000</v>
      </c>
      <c r="E5" s="1">
        <v>37080000</v>
      </c>
      <c r="F5" s="1">
        <v>47923000</v>
      </c>
      <c r="G5" s="1">
        <v>61865000</v>
      </c>
      <c r="H5" s="1">
        <v>75729000</v>
      </c>
      <c r="I5" s="1">
        <v>100357000</v>
      </c>
      <c r="J5" s="1">
        <v>129958000</v>
      </c>
      <c r="K5" s="1">
        <v>166959000</v>
      </c>
      <c r="L5" s="1">
        <v>258857000</v>
      </c>
      <c r="M5" s="1">
        <v>314259000</v>
      </c>
    </row>
    <row r="6" spans="1:38" ht="20" x14ac:dyDescent="0.25">
      <c r="A6" s="6" t="s">
        <v>3</v>
      </c>
      <c r="B6" s="10">
        <v>16473000</v>
      </c>
      <c r="C6" s="10">
        <v>34766000</v>
      </c>
      <c r="D6" s="10">
        <v>48595000</v>
      </c>
      <c r="E6" s="10">
        <v>78796000</v>
      </c>
      <c r="F6" s="10">
        <v>134020000</v>
      </c>
      <c r="G6" s="10">
        <v>209102000</v>
      </c>
      <c r="H6" s="10">
        <v>299883000</v>
      </c>
      <c r="I6" s="10">
        <v>412623000</v>
      </c>
      <c r="J6" s="10">
        <v>544902000</v>
      </c>
      <c r="K6" s="10">
        <v>716067000</v>
      </c>
      <c r="L6" s="10">
        <v>1041801000</v>
      </c>
      <c r="M6" s="10">
        <v>1416710000</v>
      </c>
      <c r="S6" s="19" t="s">
        <v>114</v>
      </c>
      <c r="T6" s="20" t="s">
        <v>115</v>
      </c>
      <c r="U6" s="20" t="s">
        <v>116</v>
      </c>
      <c r="V6" s="20" t="s">
        <v>117</v>
      </c>
    </row>
    <row r="7" spans="1:38" ht="19" x14ac:dyDescent="0.25">
      <c r="A7" s="5" t="s">
        <v>4</v>
      </c>
      <c r="B7" s="2">
        <v>0.57689999999999997</v>
      </c>
      <c r="C7" s="2">
        <v>0.67369999999999997</v>
      </c>
      <c r="D7" s="2">
        <v>0.62590000000000001</v>
      </c>
      <c r="E7" s="2">
        <v>0.68</v>
      </c>
      <c r="F7" s="2">
        <v>0.73660000000000003</v>
      </c>
      <c r="G7" s="2">
        <v>0.77170000000000005</v>
      </c>
      <c r="H7" s="2">
        <v>0.7984</v>
      </c>
      <c r="I7" s="2">
        <v>0.8044</v>
      </c>
      <c r="J7" s="2">
        <v>0.80740000000000001</v>
      </c>
      <c r="K7" s="2">
        <v>0.81089999999999995</v>
      </c>
      <c r="L7" s="2">
        <v>0.80100000000000005</v>
      </c>
      <c r="M7" s="2">
        <v>0.81840000000000002</v>
      </c>
      <c r="S7" s="17">
        <f>M7</f>
        <v>0.81840000000000002</v>
      </c>
      <c r="T7" s="21">
        <f>M21</f>
        <v>-2.47E-2</v>
      </c>
      <c r="U7" s="21">
        <f>M30</f>
        <v>-6.5100000000000005E-2</v>
      </c>
      <c r="V7" s="21">
        <f>M106/M3</f>
        <v>0.11057563711424064</v>
      </c>
    </row>
    <row r="8" spans="1:38" ht="19" x14ac:dyDescent="0.25">
      <c r="A8" s="5" t="s">
        <v>5</v>
      </c>
      <c r="B8" s="1">
        <v>10031000</v>
      </c>
      <c r="C8" s="1">
        <v>10585000</v>
      </c>
      <c r="D8" s="1">
        <v>15018000</v>
      </c>
      <c r="E8" s="1">
        <v>25638000</v>
      </c>
      <c r="F8" s="1">
        <v>32457000</v>
      </c>
      <c r="G8" s="1">
        <v>45997000</v>
      </c>
      <c r="H8" s="1">
        <v>70373000</v>
      </c>
      <c r="I8" s="1">
        <v>117603000</v>
      </c>
      <c r="J8" s="1">
        <v>158237000</v>
      </c>
      <c r="K8" s="1">
        <v>205589000</v>
      </c>
      <c r="L8" s="1">
        <v>301970000</v>
      </c>
      <c r="M8" s="1">
        <v>442022000</v>
      </c>
    </row>
    <row r="9" spans="1:38" ht="19" customHeight="1" x14ac:dyDescent="0.25">
      <c r="A9" s="14" t="s">
        <v>96</v>
      </c>
      <c r="B9" s="15">
        <f>B8/B3</f>
        <v>0.3513115959794067</v>
      </c>
      <c r="C9" s="15">
        <f t="shared" ref="C9:M9" si="1">C8/C3</f>
        <v>0.20511975815828232</v>
      </c>
      <c r="D9" s="15">
        <f t="shared" si="1"/>
        <v>0.19344617049231008</v>
      </c>
      <c r="E9" s="15">
        <f t="shared" si="1"/>
        <v>0.22125375401291036</v>
      </c>
      <c r="F9" s="15">
        <f t="shared" si="1"/>
        <v>0.17839103455477814</v>
      </c>
      <c r="G9" s="15">
        <f t="shared" si="1"/>
        <v>0.16975129812855441</v>
      </c>
      <c r="H9" s="15">
        <f t="shared" si="1"/>
        <v>0.18735556904465245</v>
      </c>
      <c r="I9" s="15">
        <f t="shared" si="1"/>
        <v>0.22925455183437951</v>
      </c>
      <c r="J9" s="15">
        <f t="shared" si="1"/>
        <v>0.23447381679163085</v>
      </c>
      <c r="K9" s="15">
        <f t="shared" si="1"/>
        <v>0.23282326907701473</v>
      </c>
      <c r="L9" s="15">
        <f t="shared" si="1"/>
        <v>0.23216710311242464</v>
      </c>
      <c r="M9" s="15">
        <f t="shared" si="1"/>
        <v>0.25536101455312027</v>
      </c>
      <c r="N9" s="15"/>
      <c r="O9" s="15"/>
      <c r="S9" s="19" t="s">
        <v>97</v>
      </c>
      <c r="T9" s="20" t="s">
        <v>98</v>
      </c>
      <c r="U9" s="20" t="s">
        <v>99</v>
      </c>
      <c r="V9" s="20" t="s">
        <v>100</v>
      </c>
    </row>
    <row r="10" spans="1:38" ht="19" x14ac:dyDescent="0.25">
      <c r="A10" s="5" t="s">
        <v>6</v>
      </c>
      <c r="B10" s="1">
        <v>6769000</v>
      </c>
      <c r="C10" s="1">
        <v>7972000</v>
      </c>
      <c r="D10" s="1">
        <v>14669000</v>
      </c>
      <c r="E10" s="1">
        <v>22958000</v>
      </c>
      <c r="F10" s="1">
        <v>35408000</v>
      </c>
      <c r="G10" s="1">
        <v>45120000</v>
      </c>
      <c r="H10" s="1">
        <v>56787000</v>
      </c>
      <c r="I10" s="1">
        <v>75834000</v>
      </c>
      <c r="J10" s="1">
        <v>92971000</v>
      </c>
      <c r="K10" s="1">
        <v>109225000</v>
      </c>
      <c r="L10" s="1">
        <v>144949000</v>
      </c>
      <c r="M10" s="1">
        <v>197720000</v>
      </c>
      <c r="S10" s="17">
        <f>M9</f>
        <v>0.25536101455312027</v>
      </c>
      <c r="T10" s="21">
        <f>M13</f>
        <v>0.62611693219231546</v>
      </c>
      <c r="U10" s="21">
        <f>M80</f>
        <v>0.15936102841818658</v>
      </c>
      <c r="V10" s="21">
        <f>M89</f>
        <v>2.1621415519284284E-2</v>
      </c>
    </row>
    <row r="11" spans="1:38" ht="19" x14ac:dyDescent="0.25">
      <c r="A11" s="5" t="s">
        <v>7</v>
      </c>
      <c r="B11" s="1">
        <v>24088000</v>
      </c>
      <c r="C11" s="1">
        <v>34949000</v>
      </c>
      <c r="D11" s="1">
        <v>53158000</v>
      </c>
      <c r="E11" s="1">
        <v>78809000</v>
      </c>
      <c r="F11" s="1">
        <v>112629000</v>
      </c>
      <c r="G11" s="1">
        <v>162647000</v>
      </c>
      <c r="H11" s="1">
        <v>212859000</v>
      </c>
      <c r="I11" s="1">
        <v>267444000</v>
      </c>
      <c r="J11" s="1">
        <v>340685000</v>
      </c>
      <c r="K11" s="1">
        <v>452081000</v>
      </c>
      <c r="L11" s="1">
        <v>649681000</v>
      </c>
      <c r="M11" s="1">
        <v>886069000</v>
      </c>
    </row>
    <row r="12" spans="1:38" ht="20" x14ac:dyDescent="0.25">
      <c r="A12" s="5" t="s">
        <v>8</v>
      </c>
      <c r="B12" s="1">
        <v>30857000</v>
      </c>
      <c r="C12" s="1">
        <v>42921000</v>
      </c>
      <c r="D12" s="1">
        <v>67827000</v>
      </c>
      <c r="E12" s="1">
        <v>101767000</v>
      </c>
      <c r="F12" s="1">
        <v>148037000</v>
      </c>
      <c r="G12" s="1">
        <v>207767000</v>
      </c>
      <c r="H12" s="1">
        <v>269646000</v>
      </c>
      <c r="I12" s="1">
        <v>343278000</v>
      </c>
      <c r="J12" s="1">
        <v>433656000</v>
      </c>
      <c r="K12" s="1">
        <v>561306000</v>
      </c>
      <c r="L12" s="1">
        <v>794630000</v>
      </c>
      <c r="M12" s="1">
        <v>1083789000</v>
      </c>
      <c r="S12" s="19" t="s">
        <v>118</v>
      </c>
      <c r="T12" s="20" t="s">
        <v>119</v>
      </c>
      <c r="U12" s="20" t="s">
        <v>120</v>
      </c>
      <c r="V12" s="20" t="s">
        <v>121</v>
      </c>
    </row>
    <row r="13" spans="1:38" ht="19" x14ac:dyDescent="0.25">
      <c r="A13" s="14" t="s">
        <v>101</v>
      </c>
      <c r="B13" s="15">
        <f>B12/B3</f>
        <v>1.0806920463699086</v>
      </c>
      <c r="C13" s="15">
        <f t="shared" ref="C13:M13" si="2">C12/C3</f>
        <v>0.83173784977908694</v>
      </c>
      <c r="D13" s="15">
        <f t="shared" si="2"/>
        <v>0.87367648195378311</v>
      </c>
      <c r="E13" s="15">
        <f t="shared" si="2"/>
        <v>0.87824053298353411</v>
      </c>
      <c r="F13" s="15">
        <f t="shared" si="2"/>
        <v>0.81364493275366456</v>
      </c>
      <c r="G13" s="15">
        <f t="shared" si="2"/>
        <v>0.76676126613203821</v>
      </c>
      <c r="H13" s="15">
        <f t="shared" si="2"/>
        <v>0.71788441263857383</v>
      </c>
      <c r="I13" s="15">
        <f t="shared" si="2"/>
        <v>0.66918398378104405</v>
      </c>
      <c r="J13" s="15">
        <f t="shared" si="2"/>
        <v>0.64258661055626354</v>
      </c>
      <c r="K13" s="15">
        <f t="shared" si="2"/>
        <v>0.63566191708964404</v>
      </c>
      <c r="L13" s="15">
        <f t="shared" si="2"/>
        <v>0.61094461418758816</v>
      </c>
      <c r="M13" s="15">
        <f t="shared" si="2"/>
        <v>0.62611693219231546</v>
      </c>
      <c r="N13" s="15"/>
      <c r="O13" s="15"/>
      <c r="S13" s="17">
        <f>M28/M72</f>
        <v>-0.11363260715322347</v>
      </c>
      <c r="T13" s="21">
        <f>M28/M54</f>
        <v>-4.4306722342339372E-2</v>
      </c>
      <c r="U13" s="21">
        <f>M22/(M72+M56+M61)</f>
        <v>-6.0660093641423739E-2</v>
      </c>
      <c r="V13" s="22">
        <f>M67/M72</f>
        <v>1.5646809591382591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</row>
    <row r="15" spans="1:38" ht="20" x14ac:dyDescent="0.25">
      <c r="A15" s="5" t="s">
        <v>10</v>
      </c>
      <c r="B15" s="1">
        <v>40888000</v>
      </c>
      <c r="C15" s="1">
        <v>53506000</v>
      </c>
      <c r="D15" s="1">
        <v>82845000</v>
      </c>
      <c r="E15" s="1">
        <v>127405000</v>
      </c>
      <c r="F15" s="1">
        <v>180494000</v>
      </c>
      <c r="G15" s="1">
        <v>253764000</v>
      </c>
      <c r="H15" s="1">
        <v>340019000</v>
      </c>
      <c r="I15" s="1">
        <v>460881000</v>
      </c>
      <c r="J15" s="1">
        <v>591893000</v>
      </c>
      <c r="K15" s="1">
        <v>766895000</v>
      </c>
      <c r="L15" s="1">
        <v>1096600000</v>
      </c>
      <c r="M15" s="1">
        <v>1525811000</v>
      </c>
      <c r="S15" s="19" t="s">
        <v>122</v>
      </c>
      <c r="T15" s="20" t="s">
        <v>123</v>
      </c>
      <c r="U15" s="20" t="s">
        <v>124</v>
      </c>
      <c r="V15" s="20" t="s">
        <v>125</v>
      </c>
    </row>
    <row r="16" spans="1:38" ht="19" x14ac:dyDescent="0.25">
      <c r="A16" s="5" t="s">
        <v>11</v>
      </c>
      <c r="B16" s="1">
        <v>52968000</v>
      </c>
      <c r="C16" s="1">
        <v>70344000</v>
      </c>
      <c r="D16" s="1">
        <v>111884000</v>
      </c>
      <c r="E16" s="1">
        <v>164485000</v>
      </c>
      <c r="F16" s="1">
        <v>228417000</v>
      </c>
      <c r="G16" s="1">
        <v>315629000</v>
      </c>
      <c r="H16" s="1">
        <v>415748000</v>
      </c>
      <c r="I16" s="1">
        <v>561238000</v>
      </c>
      <c r="J16" s="1">
        <v>721851000</v>
      </c>
      <c r="K16" s="1">
        <v>933854000</v>
      </c>
      <c r="L16" s="1">
        <v>1355457000</v>
      </c>
      <c r="M16" s="1">
        <v>1840070000</v>
      </c>
      <c r="S16" s="30">
        <f>(M35+L35+K35+J35+I35)/5</f>
        <v>5.517441772345557E-2</v>
      </c>
      <c r="T16" s="31">
        <f>U101/M3</f>
        <v>10.822454792662375</v>
      </c>
      <c r="U16" s="31">
        <f>U101/M28</f>
        <v>-166.15077517317226</v>
      </c>
      <c r="V16" s="32">
        <f>U101/M106</f>
        <v>97.873772877123145</v>
      </c>
    </row>
    <row r="17" spans="1:19" ht="19" x14ac:dyDescent="0.25">
      <c r="A17" s="5" t="s">
        <v>12</v>
      </c>
      <c r="B17" s="1">
        <v>30000</v>
      </c>
      <c r="C17" s="1">
        <v>63000</v>
      </c>
      <c r="D17" s="1">
        <v>20000</v>
      </c>
      <c r="E17" s="1">
        <v>322000</v>
      </c>
      <c r="F17" s="1">
        <v>185000</v>
      </c>
      <c r="G17" s="1">
        <v>265000</v>
      </c>
      <c r="H17" s="1">
        <v>13181000</v>
      </c>
      <c r="I17" s="1">
        <v>21386000</v>
      </c>
      <c r="J17" s="1">
        <v>22818000</v>
      </c>
      <c r="K17" s="1">
        <v>37049000</v>
      </c>
      <c r="L17" s="1">
        <v>30282000</v>
      </c>
      <c r="M17" s="1">
        <v>3762000</v>
      </c>
    </row>
    <row r="18" spans="1:19" ht="20" x14ac:dyDescent="0.25">
      <c r="A18" s="5" t="s">
        <v>13</v>
      </c>
      <c r="B18" s="1">
        <v>1891000</v>
      </c>
      <c r="C18" s="1">
        <v>2736000</v>
      </c>
      <c r="D18" s="1">
        <v>4472000</v>
      </c>
      <c r="E18" s="1">
        <v>5714000</v>
      </c>
      <c r="F18" s="1">
        <v>7343000</v>
      </c>
      <c r="G18" s="1">
        <v>11177000</v>
      </c>
      <c r="H18" s="1">
        <v>15786000</v>
      </c>
      <c r="I18" s="1">
        <v>23428000</v>
      </c>
      <c r="J18" s="1">
        <v>28793000</v>
      </c>
      <c r="K18" s="1">
        <v>37060000</v>
      </c>
      <c r="L18" s="1">
        <v>45159000</v>
      </c>
      <c r="M18" s="1">
        <v>58150000</v>
      </c>
      <c r="S18" s="19" t="s">
        <v>126</v>
      </c>
    </row>
    <row r="19" spans="1:19" ht="19" x14ac:dyDescent="0.25">
      <c r="A19" s="6" t="s">
        <v>14</v>
      </c>
      <c r="B19" s="10">
        <v>-22490000</v>
      </c>
      <c r="C19" s="10">
        <v>-15979000</v>
      </c>
      <c r="D19" s="10">
        <v>-29782000</v>
      </c>
      <c r="E19" s="10">
        <v>-42285000</v>
      </c>
      <c r="F19" s="10">
        <v>-38113000</v>
      </c>
      <c r="G19" s="10">
        <v>-33587000</v>
      </c>
      <c r="H19" s="10">
        <v>-21072000</v>
      </c>
      <c r="I19" s="10">
        <v>-17146000</v>
      </c>
      <c r="J19" s="10">
        <v>838000</v>
      </c>
      <c r="K19" s="10">
        <v>-6706000</v>
      </c>
      <c r="L19" s="10">
        <v>1623000</v>
      </c>
      <c r="M19" s="10">
        <v>-42780000</v>
      </c>
      <c r="S19" s="33">
        <f>M40-M56-M61</f>
        <v>606345000</v>
      </c>
    </row>
    <row r="20" spans="1:19" ht="19" customHeight="1" x14ac:dyDescent="0.25">
      <c r="A20" s="14" t="s">
        <v>102</v>
      </c>
      <c r="B20" s="1"/>
      <c r="C20" s="15">
        <f>(C19/B19)-1</f>
        <v>-0.28950644730991548</v>
      </c>
      <c r="D20" s="15">
        <f>(D19/C19)-1</f>
        <v>0.86382126541085169</v>
      </c>
      <c r="E20" s="15">
        <f>(E19/D19)-1</f>
        <v>0.41981733933248266</v>
      </c>
      <c r="F20" s="15">
        <f t="shared" ref="F20:M20" si="3">(F19/E19)-1</f>
        <v>-9.8663828780891527E-2</v>
      </c>
      <c r="G20" s="15">
        <f t="shared" si="3"/>
        <v>-0.11875213181853961</v>
      </c>
      <c r="H20" s="15">
        <f t="shared" si="3"/>
        <v>-0.37261440438264803</v>
      </c>
      <c r="I20" s="15">
        <f t="shared" si="3"/>
        <v>-0.18631359149582383</v>
      </c>
      <c r="J20" s="15">
        <f t="shared" si="3"/>
        <v>-1.0488743730316108</v>
      </c>
      <c r="K20" s="15">
        <f t="shared" si="3"/>
        <v>-9.0023866348448696</v>
      </c>
      <c r="L20" s="15">
        <f t="shared" si="3"/>
        <v>-1.2420220697882494</v>
      </c>
      <c r="M20" s="15">
        <f t="shared" si="3"/>
        <v>-27.358595194085026</v>
      </c>
    </row>
    <row r="21" spans="1:19" ht="19" x14ac:dyDescent="0.25">
      <c r="A21" s="5" t="s">
        <v>15</v>
      </c>
      <c r="B21" s="2">
        <v>-0.78769999999999996</v>
      </c>
      <c r="C21" s="2">
        <v>-0.30959999999999999</v>
      </c>
      <c r="D21" s="2">
        <v>-0.3836</v>
      </c>
      <c r="E21" s="2">
        <v>-0.3649</v>
      </c>
      <c r="F21" s="2">
        <v>-0.20949999999999999</v>
      </c>
      <c r="G21" s="2">
        <v>-0.124</v>
      </c>
      <c r="H21" s="2">
        <v>-5.6099999999999997E-2</v>
      </c>
      <c r="I21" s="2">
        <v>-3.3399999999999999E-2</v>
      </c>
      <c r="J21" s="2">
        <v>1.1999999999999999E-3</v>
      </c>
      <c r="K21" s="2">
        <v>-7.6E-3</v>
      </c>
      <c r="L21" s="2">
        <v>1.1999999999999999E-3</v>
      </c>
      <c r="M21" s="2">
        <v>-2.47E-2</v>
      </c>
    </row>
    <row r="22" spans="1:19" ht="19" x14ac:dyDescent="0.25">
      <c r="A22" s="6" t="s">
        <v>16</v>
      </c>
      <c r="B22" s="10">
        <v>-24415000</v>
      </c>
      <c r="C22" s="10">
        <v>-18740000</v>
      </c>
      <c r="D22" s="10">
        <v>-34250000</v>
      </c>
      <c r="E22" s="10">
        <v>-48609000</v>
      </c>
      <c r="F22" s="10">
        <v>-46474000</v>
      </c>
      <c r="G22" s="10">
        <v>-44662000</v>
      </c>
      <c r="H22" s="10">
        <v>-40136000</v>
      </c>
      <c r="I22" s="10">
        <v>-48258000</v>
      </c>
      <c r="J22" s="10">
        <v>-46991000</v>
      </c>
      <c r="K22" s="10">
        <v>-50828000</v>
      </c>
      <c r="L22" s="10">
        <v>-54799000</v>
      </c>
      <c r="M22" s="10">
        <v>-109101000</v>
      </c>
    </row>
    <row r="23" spans="1:19" ht="19" x14ac:dyDescent="0.25">
      <c r="A23" s="5" t="s">
        <v>17</v>
      </c>
      <c r="B23" s="2">
        <v>-0.85509999999999997</v>
      </c>
      <c r="C23" s="2">
        <v>-0.36320000000000002</v>
      </c>
      <c r="D23" s="2">
        <v>-0.44119999999999998</v>
      </c>
      <c r="E23" s="2">
        <v>-0.41949999999999998</v>
      </c>
      <c r="F23" s="2">
        <v>-0.25540000000000002</v>
      </c>
      <c r="G23" s="2">
        <v>-0.1648</v>
      </c>
      <c r="H23" s="2">
        <v>-0.1069</v>
      </c>
      <c r="I23" s="2">
        <v>-9.4100000000000003E-2</v>
      </c>
      <c r="J23" s="2">
        <v>-6.9599999999999995E-2</v>
      </c>
      <c r="K23" s="2">
        <v>-5.7599999999999998E-2</v>
      </c>
      <c r="L23" s="2">
        <v>-4.2099999999999999E-2</v>
      </c>
      <c r="M23" s="2">
        <v>-6.3E-2</v>
      </c>
    </row>
    <row r="24" spans="1:19" ht="19" x14ac:dyDescent="0.25">
      <c r="A24" s="5" t="s">
        <v>18</v>
      </c>
      <c r="B24" s="1">
        <v>4000</v>
      </c>
      <c r="C24" s="1">
        <v>-38000</v>
      </c>
      <c r="D24" s="1">
        <v>-24000</v>
      </c>
      <c r="E24" s="1">
        <v>288000</v>
      </c>
      <c r="F24" s="1">
        <v>833000</v>
      </c>
      <c r="G24" s="1">
        <v>-367000</v>
      </c>
      <c r="H24" s="1">
        <v>-9903000</v>
      </c>
      <c r="I24" s="1">
        <v>-13702000</v>
      </c>
      <c r="J24" s="1">
        <v>-3782000</v>
      </c>
      <c r="K24" s="1">
        <v>-29987000</v>
      </c>
      <c r="L24" s="1">
        <v>-19019000</v>
      </c>
      <c r="M24" s="1">
        <v>4409000</v>
      </c>
    </row>
    <row r="25" spans="1:19" ht="19" x14ac:dyDescent="0.25">
      <c r="A25" s="6" t="s">
        <v>19</v>
      </c>
      <c r="B25" s="10">
        <v>-24411000</v>
      </c>
      <c r="C25" s="10">
        <v>-18778000</v>
      </c>
      <c r="D25" s="10">
        <v>-34274000</v>
      </c>
      <c r="E25" s="10">
        <v>-48321000</v>
      </c>
      <c r="F25" s="10">
        <v>-45641000</v>
      </c>
      <c r="G25" s="10">
        <v>-45029000</v>
      </c>
      <c r="H25" s="10">
        <v>-50039000</v>
      </c>
      <c r="I25" s="10">
        <v>-61960000</v>
      </c>
      <c r="J25" s="10">
        <v>-50773000</v>
      </c>
      <c r="K25" s="10">
        <v>-80815000</v>
      </c>
      <c r="L25" s="10">
        <v>-73818000</v>
      </c>
      <c r="M25" s="10">
        <v>-104692000</v>
      </c>
    </row>
    <row r="26" spans="1:19" ht="19" x14ac:dyDescent="0.25">
      <c r="A26" s="5" t="s">
        <v>20</v>
      </c>
      <c r="B26" s="2">
        <v>-0.85489999999999999</v>
      </c>
      <c r="C26" s="2">
        <v>-0.3639</v>
      </c>
      <c r="D26" s="2">
        <v>-0.4415</v>
      </c>
      <c r="E26" s="2">
        <v>-0.41699999999999998</v>
      </c>
      <c r="F26" s="2">
        <v>-0.25090000000000001</v>
      </c>
      <c r="G26" s="2">
        <v>-0.16619999999999999</v>
      </c>
      <c r="H26" s="2">
        <v>-0.13320000000000001</v>
      </c>
      <c r="I26" s="2">
        <v>-0.1208</v>
      </c>
      <c r="J26" s="2">
        <v>-7.5200000000000003E-2</v>
      </c>
      <c r="K26" s="2">
        <v>-9.1499999999999998E-2</v>
      </c>
      <c r="L26" s="2">
        <v>-5.6800000000000003E-2</v>
      </c>
      <c r="M26" s="2">
        <v>-6.0499999999999998E-2</v>
      </c>
    </row>
    <row r="27" spans="1:19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>
        <v>-92000</v>
      </c>
      <c r="F27" s="1">
        <v>412000</v>
      </c>
      <c r="G27" s="1">
        <v>533000</v>
      </c>
      <c r="H27" s="1">
        <v>-10325000</v>
      </c>
      <c r="I27" s="1">
        <v>1868000</v>
      </c>
      <c r="J27" s="1">
        <v>2973000</v>
      </c>
      <c r="K27" s="1">
        <v>4216000</v>
      </c>
      <c r="L27" s="1">
        <v>4019000</v>
      </c>
      <c r="M27" s="1">
        <v>8057000</v>
      </c>
    </row>
    <row r="28" spans="1:19" ht="19" x14ac:dyDescent="0.25">
      <c r="A28" s="7" t="s">
        <v>22</v>
      </c>
      <c r="B28" s="11">
        <v>-24411000</v>
      </c>
      <c r="C28" s="11">
        <v>-18778000</v>
      </c>
      <c r="D28" s="11">
        <v>-34274000</v>
      </c>
      <c r="E28" s="11">
        <v>-48229000</v>
      </c>
      <c r="F28" s="11">
        <v>-46053000</v>
      </c>
      <c r="G28" s="11">
        <v>-45562000</v>
      </c>
      <c r="H28" s="11">
        <v>-39714000</v>
      </c>
      <c r="I28" s="11">
        <v>-63828000</v>
      </c>
      <c r="J28" s="11">
        <v>-53746000</v>
      </c>
      <c r="K28" s="11">
        <v>-85031000</v>
      </c>
      <c r="L28" s="11">
        <v>-77837000</v>
      </c>
      <c r="M28" s="11">
        <v>-112749000</v>
      </c>
    </row>
    <row r="29" spans="1:19" ht="20" customHeight="1" x14ac:dyDescent="0.25">
      <c r="A29" s="14" t="s">
        <v>103</v>
      </c>
      <c r="B29" s="1"/>
      <c r="C29" s="15">
        <f>(C28/B28)-1</f>
        <v>-0.23075662611117942</v>
      </c>
      <c r="D29" s="15">
        <f>(D28/C28)-1</f>
        <v>0.82522100330173598</v>
      </c>
      <c r="E29" s="15">
        <f>(E28/D28)-1</f>
        <v>0.40715994631499086</v>
      </c>
      <c r="F29" s="15">
        <f t="shared" ref="F29:M29" si="4">(F28/E28)-1</f>
        <v>-4.5118082481494515E-2</v>
      </c>
      <c r="G29" s="15">
        <f t="shared" si="4"/>
        <v>-1.0661628992682304E-2</v>
      </c>
      <c r="H29" s="15">
        <f t="shared" si="4"/>
        <v>-0.12835257451384929</v>
      </c>
      <c r="I29" s="15">
        <f t="shared" si="4"/>
        <v>0.60719141864329962</v>
      </c>
      <c r="J29" s="15">
        <f t="shared" si="4"/>
        <v>-0.15795575609450396</v>
      </c>
      <c r="K29" s="15">
        <f t="shared" si="4"/>
        <v>0.5820898299408328</v>
      </c>
      <c r="L29" s="15">
        <f t="shared" si="4"/>
        <v>-8.4604438381296276E-2</v>
      </c>
      <c r="M29" s="15">
        <f t="shared" si="4"/>
        <v>0.44852705011755334</v>
      </c>
    </row>
    <row r="30" spans="1:19" ht="19" x14ac:dyDescent="0.25">
      <c r="A30" s="5" t="s">
        <v>23</v>
      </c>
      <c r="B30" s="2">
        <v>-0.85489999999999999</v>
      </c>
      <c r="C30" s="2">
        <v>-0.3639</v>
      </c>
      <c r="D30" s="2">
        <v>-0.4415</v>
      </c>
      <c r="E30" s="2">
        <v>-0.41620000000000001</v>
      </c>
      <c r="F30" s="2">
        <v>-0.25309999999999999</v>
      </c>
      <c r="G30" s="2">
        <v>-0.1681</v>
      </c>
      <c r="H30" s="2">
        <v>-0.1057</v>
      </c>
      <c r="I30" s="2">
        <v>-0.1244</v>
      </c>
      <c r="J30" s="2">
        <v>-7.9600000000000004E-2</v>
      </c>
      <c r="K30" s="2">
        <v>-9.6299999999999997E-2</v>
      </c>
      <c r="L30" s="2">
        <v>-5.9799999999999999E-2</v>
      </c>
      <c r="M30" s="2">
        <v>-6.5100000000000005E-2</v>
      </c>
    </row>
    <row r="31" spans="1:19" ht="19" x14ac:dyDescent="0.25">
      <c r="A31" s="5" t="s">
        <v>24</v>
      </c>
      <c r="B31" s="12">
        <v>-1.03</v>
      </c>
      <c r="C31" s="12">
        <v>-0.75</v>
      </c>
      <c r="D31" s="12">
        <v>-1.39</v>
      </c>
      <c r="E31" s="12">
        <v>-4.2</v>
      </c>
      <c r="F31" s="12">
        <v>-1.39</v>
      </c>
      <c r="G31" s="12">
        <v>-1.29</v>
      </c>
      <c r="H31" s="12">
        <v>-1.08</v>
      </c>
      <c r="I31" s="12">
        <v>-1.66</v>
      </c>
      <c r="J31" s="12">
        <v>-1.28</v>
      </c>
      <c r="K31" s="12">
        <v>-1.9</v>
      </c>
      <c r="L31" s="12">
        <v>-1.74</v>
      </c>
      <c r="M31" s="12">
        <v>-2.35</v>
      </c>
    </row>
    <row r="32" spans="1:19" ht="19" x14ac:dyDescent="0.25">
      <c r="A32" s="5" t="s">
        <v>25</v>
      </c>
      <c r="B32" s="12">
        <v>-1.03</v>
      </c>
      <c r="C32" s="12">
        <v>-0.75</v>
      </c>
      <c r="D32" s="12">
        <v>-1.39</v>
      </c>
      <c r="E32" s="12">
        <v>-4.2</v>
      </c>
      <c r="F32" s="12">
        <v>-1.39</v>
      </c>
      <c r="G32" s="12">
        <v>-1.29</v>
      </c>
      <c r="H32" s="12">
        <v>-1.08</v>
      </c>
      <c r="I32" s="12">
        <v>-1.66</v>
      </c>
      <c r="J32" s="12">
        <v>-1.28</v>
      </c>
      <c r="K32" s="12">
        <v>-1.9</v>
      </c>
      <c r="L32" s="12">
        <v>-1.74</v>
      </c>
      <c r="M32" s="12">
        <v>-2.35</v>
      </c>
    </row>
    <row r="33" spans="1:13" ht="19" x14ac:dyDescent="0.25">
      <c r="A33" s="5" t="s">
        <v>26</v>
      </c>
      <c r="B33" s="1">
        <v>24643000</v>
      </c>
      <c r="C33" s="1">
        <v>25166000</v>
      </c>
      <c r="D33" s="1">
        <v>24643000</v>
      </c>
      <c r="E33" s="1">
        <v>11562000</v>
      </c>
      <c r="F33" s="1">
        <v>33222000</v>
      </c>
      <c r="G33" s="1">
        <v>35197000</v>
      </c>
      <c r="H33" s="1">
        <v>36827000</v>
      </c>
      <c r="I33" s="1">
        <v>38529000</v>
      </c>
      <c r="J33" s="1">
        <v>42025000</v>
      </c>
      <c r="K33" s="1">
        <v>44757000</v>
      </c>
      <c r="L33" s="1">
        <v>44757000</v>
      </c>
      <c r="M33" s="1">
        <v>48065000</v>
      </c>
    </row>
    <row r="34" spans="1:13" ht="19" x14ac:dyDescent="0.25">
      <c r="A34" s="5" t="s">
        <v>27</v>
      </c>
      <c r="B34" s="1">
        <v>24643000</v>
      </c>
      <c r="C34" s="1">
        <v>25166000</v>
      </c>
      <c r="D34" s="1">
        <v>24643000</v>
      </c>
      <c r="E34" s="1">
        <v>11562000</v>
      </c>
      <c r="F34" s="1">
        <v>33222000</v>
      </c>
      <c r="G34" s="1">
        <v>35197000</v>
      </c>
      <c r="H34" s="1">
        <v>36827000</v>
      </c>
      <c r="I34" s="1">
        <v>38529000</v>
      </c>
      <c r="J34" s="1">
        <v>42025000</v>
      </c>
      <c r="K34" s="1">
        <v>44757000</v>
      </c>
      <c r="L34" s="1">
        <v>44757000</v>
      </c>
      <c r="M34" s="1">
        <v>48065000</v>
      </c>
    </row>
    <row r="35" spans="1:13" ht="20" customHeight="1" x14ac:dyDescent="0.25">
      <c r="A35" s="14" t="s">
        <v>104</v>
      </c>
      <c r="B35" s="1"/>
      <c r="C35" s="23">
        <f>(C34-B34)/B34</f>
        <v>2.1223065373534068E-2</v>
      </c>
      <c r="D35" s="23">
        <f t="shared" ref="D35:K35" si="5">(D34-C34)/C34</f>
        <v>-2.0782007470396567E-2</v>
      </c>
      <c r="E35" s="23">
        <f t="shared" si="5"/>
        <v>-0.53082011118776118</v>
      </c>
      <c r="F35" s="23">
        <f t="shared" si="5"/>
        <v>1.8733783082511677</v>
      </c>
      <c r="G35" s="23">
        <f t="shared" si="5"/>
        <v>5.9448558184335684E-2</v>
      </c>
      <c r="H35" s="23">
        <f t="shared" si="5"/>
        <v>4.6310765122027447E-2</v>
      </c>
      <c r="I35" s="23">
        <f t="shared" si="5"/>
        <v>4.6216091454639258E-2</v>
      </c>
      <c r="J35" s="23">
        <f t="shared" si="5"/>
        <v>9.0736847569363344E-2</v>
      </c>
      <c r="K35" s="23">
        <f t="shared" si="5"/>
        <v>6.500892325996431E-2</v>
      </c>
      <c r="L35" s="23">
        <f>(L34-K34)/K34</f>
        <v>0</v>
      </c>
      <c r="M35" s="23">
        <f>(M34-L34)/L34</f>
        <v>7.3910226333310985E-2</v>
      </c>
    </row>
    <row r="36" spans="1:1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</row>
    <row r="37" spans="1:1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</row>
    <row r="38" spans="1:13" ht="19" x14ac:dyDescent="0.25">
      <c r="A38" s="5" t="s">
        <v>30</v>
      </c>
      <c r="B38" s="1" t="s">
        <v>92</v>
      </c>
      <c r="C38" s="1">
        <v>41097000</v>
      </c>
      <c r="D38" s="1">
        <v>12643000</v>
      </c>
      <c r="E38" s="1">
        <v>123721000</v>
      </c>
      <c r="F38" s="1">
        <v>55580000</v>
      </c>
      <c r="G38" s="1">
        <v>59702000</v>
      </c>
      <c r="H38" s="1">
        <v>87680000</v>
      </c>
      <c r="I38" s="1">
        <v>111489000</v>
      </c>
      <c r="J38" s="1">
        <v>269670000</v>
      </c>
      <c r="K38" s="1">
        <v>378123000</v>
      </c>
      <c r="L38" s="1">
        <v>377013000</v>
      </c>
      <c r="M38" s="1">
        <v>331022000</v>
      </c>
    </row>
    <row r="39" spans="1:1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>
        <v>48972000</v>
      </c>
      <c r="G39" s="1">
        <v>54648000</v>
      </c>
      <c r="H39" s="1">
        <v>416663000</v>
      </c>
      <c r="I39" s="1">
        <v>480761000</v>
      </c>
      <c r="J39" s="1">
        <v>691834000</v>
      </c>
      <c r="K39" s="1">
        <v>873073000</v>
      </c>
      <c r="L39" s="1">
        <v>820962000</v>
      </c>
      <c r="M39" s="1">
        <v>1081662000</v>
      </c>
    </row>
    <row r="40" spans="1:13" ht="19" x14ac:dyDescent="0.25">
      <c r="A40" s="5" t="s">
        <v>32</v>
      </c>
      <c r="B40" s="1" t="s">
        <v>92</v>
      </c>
      <c r="C40" s="1">
        <v>41097000</v>
      </c>
      <c r="D40" s="1">
        <v>12643000</v>
      </c>
      <c r="E40" s="1">
        <v>123721000</v>
      </c>
      <c r="F40" s="1">
        <v>104552000</v>
      </c>
      <c r="G40" s="1">
        <v>114350000</v>
      </c>
      <c r="H40" s="1">
        <v>504343000</v>
      </c>
      <c r="I40" s="1">
        <v>592250000</v>
      </c>
      <c r="J40" s="1">
        <v>961504000</v>
      </c>
      <c r="K40" s="1">
        <v>1251196000</v>
      </c>
      <c r="L40" s="1">
        <v>1197975000</v>
      </c>
      <c r="M40" s="1">
        <v>1412684000</v>
      </c>
    </row>
    <row r="41" spans="1:13" ht="19" x14ac:dyDescent="0.25">
      <c r="A41" s="5" t="s">
        <v>33</v>
      </c>
      <c r="B41" s="1" t="s">
        <v>92</v>
      </c>
      <c r="C41" s="1">
        <v>5231000</v>
      </c>
      <c r="D41" s="1">
        <v>7220000</v>
      </c>
      <c r="E41" s="1">
        <v>14270000</v>
      </c>
      <c r="F41" s="1">
        <v>25142000</v>
      </c>
      <c r="G41" s="1">
        <v>38984000</v>
      </c>
      <c r="H41" s="1">
        <v>60676000</v>
      </c>
      <c r="I41" s="1">
        <v>77100000</v>
      </c>
      <c r="J41" s="1">
        <v>92517000</v>
      </c>
      <c r="K41" s="1">
        <v>126433000</v>
      </c>
      <c r="L41" s="1">
        <v>157362000</v>
      </c>
      <c r="M41" s="1">
        <v>226849000</v>
      </c>
    </row>
    <row r="42" spans="1:13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</row>
    <row r="43" spans="1:13" ht="19" x14ac:dyDescent="0.25">
      <c r="A43" s="5" t="s">
        <v>35</v>
      </c>
      <c r="B43" s="1" t="s">
        <v>92</v>
      </c>
      <c r="C43" s="1">
        <v>4195000</v>
      </c>
      <c r="D43" s="1">
        <v>8822000</v>
      </c>
      <c r="E43" s="1">
        <v>11518000</v>
      </c>
      <c r="F43" s="1">
        <v>16060000</v>
      </c>
      <c r="G43" s="1">
        <v>22919000</v>
      </c>
      <c r="H43" s="1">
        <v>37482000</v>
      </c>
      <c r="I43" s="1">
        <v>43068000</v>
      </c>
      <c r="J43" s="1">
        <v>55703000</v>
      </c>
      <c r="K43" s="1">
        <v>79292000</v>
      </c>
      <c r="L43" s="1">
        <v>98237000</v>
      </c>
      <c r="M43" s="1">
        <v>115066000</v>
      </c>
    </row>
    <row r="44" spans="1:13" ht="19" x14ac:dyDescent="0.25">
      <c r="A44" s="6" t="s">
        <v>36</v>
      </c>
      <c r="B44" s="10" t="s">
        <v>92</v>
      </c>
      <c r="C44" s="10">
        <v>50523000</v>
      </c>
      <c r="D44" s="10">
        <v>28685000</v>
      </c>
      <c r="E44" s="10">
        <v>149509000</v>
      </c>
      <c r="F44" s="10">
        <v>145754000</v>
      </c>
      <c r="G44" s="10">
        <v>176253000</v>
      </c>
      <c r="H44" s="10">
        <v>602501000</v>
      </c>
      <c r="I44" s="10">
        <v>712418000</v>
      </c>
      <c r="J44" s="10">
        <v>1109724000</v>
      </c>
      <c r="K44" s="10">
        <v>1456921000</v>
      </c>
      <c r="L44" s="10">
        <v>1453574000</v>
      </c>
      <c r="M44" s="10">
        <v>1754599000</v>
      </c>
    </row>
    <row r="45" spans="1:13" ht="19" x14ac:dyDescent="0.25">
      <c r="A45" s="5" t="s">
        <v>37</v>
      </c>
      <c r="B45" s="1" t="s">
        <v>92</v>
      </c>
      <c r="C45" s="1">
        <v>2562000</v>
      </c>
      <c r="D45" s="1">
        <v>7243000</v>
      </c>
      <c r="E45" s="1">
        <v>11381000</v>
      </c>
      <c r="F45" s="1">
        <v>18161000</v>
      </c>
      <c r="G45" s="1">
        <v>30201000</v>
      </c>
      <c r="H45" s="1">
        <v>43294000</v>
      </c>
      <c r="I45" s="1">
        <v>52468000</v>
      </c>
      <c r="J45" s="1">
        <v>318039000</v>
      </c>
      <c r="K45" s="1">
        <v>377016000</v>
      </c>
      <c r="L45" s="1">
        <v>376962000</v>
      </c>
      <c r="M45" s="1">
        <v>424531000</v>
      </c>
    </row>
    <row r="46" spans="1:13" ht="19" x14ac:dyDescent="0.25">
      <c r="A46" s="5" t="s">
        <v>38</v>
      </c>
      <c r="B46" s="1" t="s">
        <v>92</v>
      </c>
      <c r="C46" s="1">
        <v>9330000</v>
      </c>
      <c r="D46" s="1">
        <v>9330000</v>
      </c>
      <c r="E46" s="1">
        <v>9330000</v>
      </c>
      <c r="F46" s="1">
        <v>9773000</v>
      </c>
      <c r="G46" s="1">
        <v>9773000</v>
      </c>
      <c r="H46" s="1">
        <v>14950000</v>
      </c>
      <c r="I46" s="1">
        <v>14950000</v>
      </c>
      <c r="J46" s="1">
        <v>30250000</v>
      </c>
      <c r="K46" s="1">
        <v>31318000</v>
      </c>
      <c r="L46" s="1">
        <v>47075000</v>
      </c>
      <c r="M46" s="1">
        <v>46227000</v>
      </c>
    </row>
    <row r="47" spans="1:13" ht="19" x14ac:dyDescent="0.25">
      <c r="A47" s="5" t="s">
        <v>39</v>
      </c>
      <c r="B47" s="1" t="s">
        <v>92</v>
      </c>
      <c r="C47" s="1">
        <v>2708000</v>
      </c>
      <c r="D47" s="1">
        <v>3626000</v>
      </c>
      <c r="E47" s="1">
        <v>4522000</v>
      </c>
      <c r="F47" s="1">
        <v>4755000</v>
      </c>
      <c r="G47" s="1">
        <v>6539000</v>
      </c>
      <c r="H47" s="1">
        <v>15072000</v>
      </c>
      <c r="I47" s="1">
        <v>17665000</v>
      </c>
      <c r="J47" s="1">
        <v>28545000</v>
      </c>
      <c r="K47" s="1">
        <v>35225000</v>
      </c>
      <c r="L47" s="1">
        <v>50423000</v>
      </c>
      <c r="M47" s="1">
        <v>17446000</v>
      </c>
    </row>
    <row r="48" spans="1:13" ht="19" x14ac:dyDescent="0.25">
      <c r="A48" s="5" t="s">
        <v>40</v>
      </c>
      <c r="B48" s="1" t="s">
        <v>92</v>
      </c>
      <c r="C48" s="1">
        <v>12038000</v>
      </c>
      <c r="D48" s="1">
        <v>12956000</v>
      </c>
      <c r="E48" s="1">
        <v>13852000</v>
      </c>
      <c r="F48" s="1">
        <v>14528000</v>
      </c>
      <c r="G48" s="1">
        <v>16312000</v>
      </c>
      <c r="H48" s="1">
        <v>30022000</v>
      </c>
      <c r="I48" s="1">
        <v>32615000</v>
      </c>
      <c r="J48" s="1">
        <v>58795000</v>
      </c>
      <c r="K48" s="1">
        <v>66543000</v>
      </c>
      <c r="L48" s="1">
        <v>97498000</v>
      </c>
      <c r="M48" s="1">
        <v>63673000</v>
      </c>
    </row>
    <row r="49" spans="1:1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>
        <v>40566000</v>
      </c>
      <c r="G49" s="1">
        <v>35718000</v>
      </c>
      <c r="H49" s="1">
        <v>31394000</v>
      </c>
      <c r="I49" s="1">
        <v>11450000</v>
      </c>
      <c r="J49" s="1">
        <v>53776000</v>
      </c>
      <c r="K49" s="1">
        <v>30697000</v>
      </c>
      <c r="L49" s="1">
        <v>174895000</v>
      </c>
      <c r="M49" s="1">
        <v>112791000</v>
      </c>
    </row>
    <row r="50" spans="1:1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</row>
    <row r="51" spans="1:13" ht="19" x14ac:dyDescent="0.25">
      <c r="A51" s="5" t="s">
        <v>43</v>
      </c>
      <c r="B51" s="1" t="s">
        <v>92</v>
      </c>
      <c r="C51" s="1">
        <v>528000</v>
      </c>
      <c r="D51" s="1">
        <v>1675000</v>
      </c>
      <c r="E51" s="1">
        <v>116000</v>
      </c>
      <c r="F51" s="1">
        <v>1370000</v>
      </c>
      <c r="G51" s="1">
        <v>1271000</v>
      </c>
      <c r="H51" s="1">
        <v>4964000</v>
      </c>
      <c r="I51" s="1">
        <v>25002000</v>
      </c>
      <c r="J51" s="1">
        <v>28934000</v>
      </c>
      <c r="K51" s="1">
        <v>42189000</v>
      </c>
      <c r="L51" s="1">
        <v>71925000</v>
      </c>
      <c r="M51" s="1">
        <v>189144000</v>
      </c>
    </row>
    <row r="52" spans="1:13" ht="19" x14ac:dyDescent="0.25">
      <c r="A52" s="5" t="s">
        <v>44</v>
      </c>
      <c r="B52" s="1" t="s">
        <v>92</v>
      </c>
      <c r="C52" s="1">
        <v>15128000</v>
      </c>
      <c r="D52" s="1">
        <v>21874000</v>
      </c>
      <c r="E52" s="1">
        <v>25349000</v>
      </c>
      <c r="F52" s="1">
        <v>74625000</v>
      </c>
      <c r="G52" s="1">
        <v>83502000</v>
      </c>
      <c r="H52" s="1">
        <v>109674000</v>
      </c>
      <c r="I52" s="1">
        <v>121535000</v>
      </c>
      <c r="J52" s="1">
        <v>459544000</v>
      </c>
      <c r="K52" s="1">
        <v>516445000</v>
      </c>
      <c r="L52" s="1">
        <v>721280000</v>
      </c>
      <c r="M52" s="1">
        <v>790139000</v>
      </c>
    </row>
    <row r="53" spans="1:1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</row>
    <row r="54" spans="1:13" ht="19" x14ac:dyDescent="0.25">
      <c r="A54" s="7" t="s">
        <v>46</v>
      </c>
      <c r="B54" s="11" t="s">
        <v>92</v>
      </c>
      <c r="C54" s="11">
        <v>65651000</v>
      </c>
      <c r="D54" s="11">
        <v>50559000</v>
      </c>
      <c r="E54" s="11">
        <v>174858000</v>
      </c>
      <c r="F54" s="11">
        <v>220379000</v>
      </c>
      <c r="G54" s="11">
        <v>259755000</v>
      </c>
      <c r="H54" s="11">
        <v>712175000</v>
      </c>
      <c r="I54" s="11">
        <v>833953000</v>
      </c>
      <c r="J54" s="11">
        <v>1569268000</v>
      </c>
      <c r="K54" s="11">
        <v>1973366000</v>
      </c>
      <c r="L54" s="11">
        <v>2174854000</v>
      </c>
      <c r="M54" s="11">
        <v>2544738000</v>
      </c>
    </row>
    <row r="55" spans="1:13" ht="19" x14ac:dyDescent="0.25">
      <c r="A55" s="5" t="s">
        <v>47</v>
      </c>
      <c r="B55" s="1" t="s">
        <v>92</v>
      </c>
      <c r="C55" s="1">
        <v>2200000</v>
      </c>
      <c r="D55" s="1">
        <v>2547000</v>
      </c>
      <c r="E55" s="1">
        <v>2800000</v>
      </c>
      <c r="F55" s="1">
        <v>2588000</v>
      </c>
      <c r="G55" s="1">
        <v>4350000</v>
      </c>
      <c r="H55" s="1">
        <v>4657000</v>
      </c>
      <c r="I55" s="1">
        <v>7810000</v>
      </c>
      <c r="J55" s="1">
        <v>12842000</v>
      </c>
      <c r="K55" s="1">
        <v>13540000</v>
      </c>
      <c r="L55" s="1">
        <v>2773000</v>
      </c>
      <c r="M55" s="1">
        <v>20883000</v>
      </c>
    </row>
    <row r="56" spans="1:13" ht="19" x14ac:dyDescent="0.25">
      <c r="A56" s="5" t="s">
        <v>48</v>
      </c>
      <c r="B56" s="1" t="s">
        <v>92</v>
      </c>
      <c r="C56" s="1">
        <v>107000</v>
      </c>
      <c r="D56" s="1">
        <v>96000</v>
      </c>
      <c r="E56" s="1">
        <v>100000</v>
      </c>
      <c r="F56" s="1">
        <v>542000</v>
      </c>
      <c r="G56" s="1">
        <v>796000</v>
      </c>
      <c r="H56" s="1" t="s">
        <v>92</v>
      </c>
      <c r="I56" s="1" t="s">
        <v>92</v>
      </c>
      <c r="J56" s="1">
        <v>23613000</v>
      </c>
      <c r="K56" s="1">
        <v>37857000</v>
      </c>
      <c r="L56" s="1">
        <v>45994000</v>
      </c>
      <c r="M56" s="1">
        <v>35928000</v>
      </c>
    </row>
    <row r="57" spans="1:1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</row>
    <row r="58" spans="1:13" ht="19" x14ac:dyDescent="0.25">
      <c r="A58" s="5" t="s">
        <v>50</v>
      </c>
      <c r="B58" s="1" t="s">
        <v>92</v>
      </c>
      <c r="C58" s="1">
        <v>15716000</v>
      </c>
      <c r="D58" s="1">
        <v>24662000</v>
      </c>
      <c r="E58" s="1">
        <v>40805000</v>
      </c>
      <c r="F58" s="1">
        <v>64407000</v>
      </c>
      <c r="G58" s="1">
        <v>95426000</v>
      </c>
      <c r="H58" s="1">
        <v>136880000</v>
      </c>
      <c r="I58" s="1">
        <v>183305000</v>
      </c>
      <c r="J58" s="1">
        <v>231030000</v>
      </c>
      <c r="K58" s="1">
        <v>312866000</v>
      </c>
      <c r="L58" s="1">
        <v>430414000</v>
      </c>
      <c r="M58" s="1">
        <v>539874000</v>
      </c>
    </row>
    <row r="59" spans="1:13" ht="19" x14ac:dyDescent="0.25">
      <c r="A59" s="5" t="s">
        <v>51</v>
      </c>
      <c r="B59" s="1" t="s">
        <v>92</v>
      </c>
      <c r="C59" s="1">
        <v>8282000</v>
      </c>
      <c r="D59" s="1">
        <v>12239000</v>
      </c>
      <c r="E59" s="1">
        <v>15723000</v>
      </c>
      <c r="F59" s="1">
        <v>23770000</v>
      </c>
      <c r="G59" s="1">
        <v>26811000</v>
      </c>
      <c r="H59" s="1">
        <v>36759000</v>
      </c>
      <c r="I59" s="1">
        <v>45894000</v>
      </c>
      <c r="J59" s="1">
        <v>55004000</v>
      </c>
      <c r="K59" s="1">
        <v>81238000</v>
      </c>
      <c r="L59" s="1">
        <v>138293000</v>
      </c>
      <c r="M59" s="1">
        <v>164968000</v>
      </c>
    </row>
    <row r="60" spans="1:13" ht="19" x14ac:dyDescent="0.25">
      <c r="A60" s="6" t="s">
        <v>52</v>
      </c>
      <c r="B60" s="10" t="s">
        <v>92</v>
      </c>
      <c r="C60" s="10">
        <v>26305000</v>
      </c>
      <c r="D60" s="10">
        <v>39544000</v>
      </c>
      <c r="E60" s="10">
        <v>59428000</v>
      </c>
      <c r="F60" s="10">
        <v>91307000</v>
      </c>
      <c r="G60" s="10">
        <v>127383000</v>
      </c>
      <c r="H60" s="10">
        <v>178296000</v>
      </c>
      <c r="I60" s="10">
        <v>237009000</v>
      </c>
      <c r="J60" s="10">
        <v>322489000</v>
      </c>
      <c r="K60" s="10">
        <v>445501000</v>
      </c>
      <c r="L60" s="10">
        <v>617474000</v>
      </c>
      <c r="M60" s="10">
        <v>761653000</v>
      </c>
    </row>
    <row r="61" spans="1:13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>
        <v>298447000</v>
      </c>
      <c r="I61" s="1">
        <v>318782000</v>
      </c>
      <c r="J61" s="1">
        <v>340564000</v>
      </c>
      <c r="K61" s="1">
        <v>750763000</v>
      </c>
      <c r="L61" s="1">
        <v>666974000</v>
      </c>
      <c r="M61" s="1">
        <v>770411000</v>
      </c>
    </row>
    <row r="62" spans="1:13" ht="19" x14ac:dyDescent="0.25">
      <c r="A62" s="5" t="s">
        <v>50</v>
      </c>
      <c r="B62" s="1" t="s">
        <v>92</v>
      </c>
      <c r="C62" s="1">
        <v>301000</v>
      </c>
      <c r="D62" s="1">
        <v>244000</v>
      </c>
      <c r="E62" s="1">
        <v>500000</v>
      </c>
      <c r="F62" s="1">
        <v>732000</v>
      </c>
      <c r="G62" s="1">
        <v>1171000</v>
      </c>
      <c r="H62" s="1">
        <v>2277000</v>
      </c>
      <c r="I62" s="1">
        <v>2179000</v>
      </c>
      <c r="J62" s="1">
        <v>3058000</v>
      </c>
      <c r="K62" s="1">
        <v>3636000</v>
      </c>
      <c r="L62" s="1">
        <v>4473000</v>
      </c>
      <c r="M62" s="1">
        <v>5904000</v>
      </c>
    </row>
    <row r="63" spans="1:13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</row>
    <row r="64" spans="1:13" ht="19" x14ac:dyDescent="0.25">
      <c r="A64" s="5" t="s">
        <v>55</v>
      </c>
      <c r="B64" s="1" t="s">
        <v>92</v>
      </c>
      <c r="C64" s="1">
        <v>102254000</v>
      </c>
      <c r="D64" s="1">
        <v>104019000</v>
      </c>
      <c r="E64" s="1">
        <v>4231000</v>
      </c>
      <c r="F64" s="1">
        <v>6632000</v>
      </c>
      <c r="G64" s="1">
        <v>12501000</v>
      </c>
      <c r="H64" s="1">
        <v>22795000</v>
      </c>
      <c r="I64" s="1">
        <v>31342000</v>
      </c>
      <c r="J64" s="1">
        <v>253199000</v>
      </c>
      <c r="K64" s="1">
        <v>10811000</v>
      </c>
      <c r="L64" s="1">
        <v>12134000</v>
      </c>
      <c r="M64" s="1">
        <v>14546000</v>
      </c>
    </row>
    <row r="65" spans="1:13" ht="19" x14ac:dyDescent="0.25">
      <c r="A65" s="5" t="s">
        <v>56</v>
      </c>
      <c r="B65" s="1" t="s">
        <v>92</v>
      </c>
      <c r="C65" s="1">
        <v>102555000</v>
      </c>
      <c r="D65" s="1">
        <v>104263000</v>
      </c>
      <c r="E65" s="1">
        <v>4731000</v>
      </c>
      <c r="F65" s="1">
        <v>7364000</v>
      </c>
      <c r="G65" s="1">
        <v>13672000</v>
      </c>
      <c r="H65" s="1">
        <v>323519000</v>
      </c>
      <c r="I65" s="1">
        <v>352303000</v>
      </c>
      <c r="J65" s="1">
        <v>596821000</v>
      </c>
      <c r="K65" s="1">
        <v>765210000</v>
      </c>
      <c r="L65" s="1">
        <v>683581000</v>
      </c>
      <c r="M65" s="1">
        <v>790861000</v>
      </c>
    </row>
    <row r="66" spans="1:13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</row>
    <row r="67" spans="1:13" ht="19" x14ac:dyDescent="0.25">
      <c r="A67" s="6" t="s">
        <v>58</v>
      </c>
      <c r="B67" s="10" t="s">
        <v>92</v>
      </c>
      <c r="C67" s="10">
        <v>128860000</v>
      </c>
      <c r="D67" s="10">
        <v>143807000</v>
      </c>
      <c r="E67" s="10">
        <v>64159000</v>
      </c>
      <c r="F67" s="10">
        <v>98671000</v>
      </c>
      <c r="G67" s="10">
        <v>141055000</v>
      </c>
      <c r="H67" s="10">
        <v>501815000</v>
      </c>
      <c r="I67" s="10">
        <v>589312000</v>
      </c>
      <c r="J67" s="10">
        <v>919310000</v>
      </c>
      <c r="K67" s="10">
        <v>1210711000</v>
      </c>
      <c r="L67" s="10">
        <v>1301055000</v>
      </c>
      <c r="M67" s="10">
        <v>1552514000</v>
      </c>
    </row>
    <row r="68" spans="1:13" ht="19" x14ac:dyDescent="0.25">
      <c r="A68" s="5" t="s">
        <v>59</v>
      </c>
      <c r="B68" s="1" t="s">
        <v>92</v>
      </c>
      <c r="C68" s="1">
        <v>5000</v>
      </c>
      <c r="D68" s="1">
        <v>5000</v>
      </c>
      <c r="E68" s="1">
        <v>32000</v>
      </c>
      <c r="F68" s="1">
        <v>34000</v>
      </c>
      <c r="G68" s="1">
        <v>36000</v>
      </c>
      <c r="H68" s="1">
        <v>38000</v>
      </c>
      <c r="I68" s="1">
        <v>40000</v>
      </c>
      <c r="J68" s="1">
        <v>44000</v>
      </c>
      <c r="K68" s="1">
        <v>46000</v>
      </c>
      <c r="L68" s="1">
        <v>47000</v>
      </c>
      <c r="M68" s="1">
        <v>49000</v>
      </c>
    </row>
    <row r="69" spans="1:13" ht="19" x14ac:dyDescent="0.25">
      <c r="A69" s="5" t="s">
        <v>60</v>
      </c>
      <c r="B69" s="1" t="s">
        <v>92</v>
      </c>
      <c r="C69" s="1">
        <v>-71798000</v>
      </c>
      <c r="D69" s="1">
        <v>-106072000</v>
      </c>
      <c r="E69" s="1">
        <v>-154301000</v>
      </c>
      <c r="F69" s="1">
        <v>-200354000</v>
      </c>
      <c r="G69" s="1">
        <v>-245916000</v>
      </c>
      <c r="H69" s="1">
        <v>-286082000</v>
      </c>
      <c r="I69" s="1">
        <v>-344384000</v>
      </c>
      <c r="J69" s="1">
        <v>-398130000</v>
      </c>
      <c r="K69" s="1">
        <v>-483161000</v>
      </c>
      <c r="L69" s="1">
        <v>-560998000</v>
      </c>
      <c r="M69" s="1">
        <v>-642381000</v>
      </c>
    </row>
    <row r="70" spans="1:13" ht="19" x14ac:dyDescent="0.25">
      <c r="A70" s="5" t="s">
        <v>61</v>
      </c>
      <c r="B70" s="1" t="s">
        <v>92</v>
      </c>
      <c r="C70" s="1">
        <v>-10000</v>
      </c>
      <c r="D70" s="1">
        <v>-79000</v>
      </c>
      <c r="E70" s="1">
        <v>-145000</v>
      </c>
      <c r="F70" s="1">
        <v>-805000</v>
      </c>
      <c r="G70" s="1">
        <v>-864000</v>
      </c>
      <c r="H70" s="1">
        <v>-57000</v>
      </c>
      <c r="I70" s="1">
        <v>-723000</v>
      </c>
      <c r="J70" s="1">
        <v>-336000</v>
      </c>
      <c r="K70" s="1">
        <v>4603000</v>
      </c>
      <c r="L70" s="1">
        <v>-1339000</v>
      </c>
      <c r="M70" s="1">
        <v>-12890000</v>
      </c>
    </row>
    <row r="71" spans="1:13" ht="19" x14ac:dyDescent="0.25">
      <c r="A71" s="5" t="s">
        <v>62</v>
      </c>
      <c r="B71" s="1" t="s">
        <v>92</v>
      </c>
      <c r="C71" s="1">
        <v>8594000</v>
      </c>
      <c r="D71" s="1">
        <v>12898000</v>
      </c>
      <c r="E71" s="1">
        <v>265113000</v>
      </c>
      <c r="F71" s="1">
        <v>322833000</v>
      </c>
      <c r="G71" s="1">
        <v>365444000</v>
      </c>
      <c r="H71" s="1">
        <v>496461000</v>
      </c>
      <c r="I71" s="1">
        <v>589708000</v>
      </c>
      <c r="J71" s="1">
        <v>1048380000</v>
      </c>
      <c r="K71" s="1">
        <v>1241167000</v>
      </c>
      <c r="L71" s="1">
        <v>1436089000</v>
      </c>
      <c r="M71" s="1">
        <v>1647446000</v>
      </c>
    </row>
    <row r="72" spans="1:13" ht="19" x14ac:dyDescent="0.25">
      <c r="A72" s="6" t="s">
        <v>63</v>
      </c>
      <c r="B72" s="10" t="s">
        <v>92</v>
      </c>
      <c r="C72" s="10">
        <v>-63209000</v>
      </c>
      <c r="D72" s="10">
        <v>-93248000</v>
      </c>
      <c r="E72" s="10">
        <v>110699000</v>
      </c>
      <c r="F72" s="10">
        <v>121708000</v>
      </c>
      <c r="G72" s="10">
        <v>118700000</v>
      </c>
      <c r="H72" s="10">
        <v>210360000</v>
      </c>
      <c r="I72" s="10">
        <v>244641000</v>
      </c>
      <c r="J72" s="10">
        <v>649958000</v>
      </c>
      <c r="K72" s="10">
        <v>762655000</v>
      </c>
      <c r="L72" s="10">
        <v>873799000</v>
      </c>
      <c r="M72" s="10">
        <v>992224000</v>
      </c>
    </row>
    <row r="73" spans="1:13" ht="19" x14ac:dyDescent="0.25">
      <c r="A73" s="7" t="s">
        <v>64</v>
      </c>
      <c r="B73" s="11" t="s">
        <v>92</v>
      </c>
      <c r="C73" s="11">
        <v>65651000</v>
      </c>
      <c r="D73" s="11">
        <v>50559000</v>
      </c>
      <c r="E73" s="11">
        <v>174858000</v>
      </c>
      <c r="F73" s="11">
        <v>220379000</v>
      </c>
      <c r="G73" s="11">
        <v>259755000</v>
      </c>
      <c r="H73" s="11">
        <v>712175000</v>
      </c>
      <c r="I73" s="11">
        <v>833953000</v>
      </c>
      <c r="J73" s="11">
        <v>1569268000</v>
      </c>
      <c r="K73" s="11">
        <v>1973366000</v>
      </c>
      <c r="L73" s="11">
        <v>2174854000</v>
      </c>
      <c r="M73" s="11">
        <v>2544738000</v>
      </c>
    </row>
    <row r="74" spans="1:13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</row>
    <row r="75" spans="1:1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</row>
    <row r="76" spans="1:13" ht="19" x14ac:dyDescent="0.25">
      <c r="A76" s="5" t="s">
        <v>66</v>
      </c>
      <c r="B76" s="1">
        <v>-24411000</v>
      </c>
      <c r="C76" s="1">
        <v>-18778000</v>
      </c>
      <c r="D76" s="1">
        <v>-34274000</v>
      </c>
      <c r="E76" s="1">
        <v>-48229000</v>
      </c>
      <c r="F76" s="1">
        <v>-46053000</v>
      </c>
      <c r="G76" s="1">
        <v>-45562000</v>
      </c>
      <c r="H76" s="1">
        <v>-39714000</v>
      </c>
      <c r="I76" s="1">
        <v>-63828000</v>
      </c>
      <c r="J76" s="1">
        <v>-53746000</v>
      </c>
      <c r="K76" s="1">
        <v>-85031000</v>
      </c>
      <c r="L76" s="1">
        <v>-77837000</v>
      </c>
      <c r="M76" s="1">
        <v>-112749000</v>
      </c>
    </row>
    <row r="77" spans="1:13" ht="19" x14ac:dyDescent="0.25">
      <c r="A77" s="5" t="s">
        <v>13</v>
      </c>
      <c r="B77" s="1">
        <v>1891000</v>
      </c>
      <c r="C77" s="1">
        <v>2736000</v>
      </c>
      <c r="D77" s="1">
        <v>4472000</v>
      </c>
      <c r="E77" s="1">
        <v>5714000</v>
      </c>
      <c r="F77" s="1">
        <v>7343000</v>
      </c>
      <c r="G77" s="1">
        <v>11177000</v>
      </c>
      <c r="H77" s="1">
        <v>15786000</v>
      </c>
      <c r="I77" s="1">
        <v>23428000</v>
      </c>
      <c r="J77" s="1">
        <v>28793000</v>
      </c>
      <c r="K77" s="1">
        <v>37060000</v>
      </c>
      <c r="L77" s="1">
        <v>45159000</v>
      </c>
      <c r="M77" s="1">
        <v>58150000</v>
      </c>
    </row>
    <row r="78" spans="1:13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-133000</v>
      </c>
      <c r="F78" s="1">
        <v>-50000</v>
      </c>
      <c r="G78" s="1">
        <v>-133000</v>
      </c>
      <c r="H78" s="1">
        <v>-11546000</v>
      </c>
      <c r="I78" s="1">
        <v>36000</v>
      </c>
      <c r="J78" s="1">
        <v>-799000</v>
      </c>
      <c r="K78" s="1">
        <v>-2185000</v>
      </c>
      <c r="L78" s="1">
        <v>-2869000</v>
      </c>
      <c r="M78" s="1">
        <v>-2122000</v>
      </c>
    </row>
    <row r="79" spans="1:13" ht="19" x14ac:dyDescent="0.25">
      <c r="A79" s="5" t="s">
        <v>68</v>
      </c>
      <c r="B79" s="1">
        <v>4619000</v>
      </c>
      <c r="C79" s="1">
        <v>2515000</v>
      </c>
      <c r="D79" s="1">
        <v>3464000</v>
      </c>
      <c r="E79" s="1">
        <v>16358000</v>
      </c>
      <c r="F79" s="1">
        <v>21308000</v>
      </c>
      <c r="G79" s="1">
        <v>32675000</v>
      </c>
      <c r="H79" s="1">
        <v>47317000</v>
      </c>
      <c r="I79" s="1">
        <v>76261000</v>
      </c>
      <c r="J79" s="1">
        <v>97754000</v>
      </c>
      <c r="K79" s="1">
        <v>121488000</v>
      </c>
      <c r="L79" s="1">
        <v>166761000</v>
      </c>
      <c r="M79" s="1">
        <v>275849000</v>
      </c>
    </row>
    <row r="80" spans="1:13" ht="19" x14ac:dyDescent="0.25">
      <c r="A80" s="14" t="s">
        <v>105</v>
      </c>
      <c r="B80" s="15">
        <f t="shared" ref="B80:M80" si="6">B79/B3</f>
        <v>0.16176934122509018</v>
      </c>
      <c r="C80" s="15">
        <f t="shared" si="6"/>
        <v>4.8736532051778934E-2</v>
      </c>
      <c r="D80" s="15">
        <f t="shared" si="6"/>
        <v>4.4619625421851251E-2</v>
      </c>
      <c r="E80" s="15">
        <f t="shared" si="6"/>
        <v>0.14116814525872484</v>
      </c>
      <c r="F80" s="15">
        <f t="shared" si="6"/>
        <v>0.11711360151256163</v>
      </c>
      <c r="G80" s="15">
        <f t="shared" si="6"/>
        <v>0.12058663970151347</v>
      </c>
      <c r="H80" s="15">
        <f t="shared" si="6"/>
        <v>0.12597307860238757</v>
      </c>
      <c r="I80" s="15">
        <f t="shared" si="6"/>
        <v>0.14866271589535654</v>
      </c>
      <c r="J80" s="15">
        <f t="shared" si="6"/>
        <v>0.14485078386628339</v>
      </c>
      <c r="K80" s="15">
        <f t="shared" si="6"/>
        <v>0.13758145286775247</v>
      </c>
      <c r="L80" s="15">
        <f t="shared" si="6"/>
        <v>0.12821279690741147</v>
      </c>
      <c r="M80" s="15">
        <f t="shared" si="6"/>
        <v>0.15936102841818658</v>
      </c>
    </row>
    <row r="81" spans="1:21" ht="19" x14ac:dyDescent="0.25">
      <c r="A81" s="5" t="s">
        <v>69</v>
      </c>
      <c r="B81" s="1">
        <v>5048000</v>
      </c>
      <c r="C81" s="1">
        <v>7286000</v>
      </c>
      <c r="D81" s="1">
        <v>5099000</v>
      </c>
      <c r="E81" s="1">
        <v>13121000</v>
      </c>
      <c r="F81" s="1">
        <v>14894000</v>
      </c>
      <c r="G81" s="1">
        <v>16513000</v>
      </c>
      <c r="H81" s="1">
        <v>22081000</v>
      </c>
      <c r="I81" s="1">
        <v>32587000</v>
      </c>
      <c r="J81" s="1">
        <v>39497000</v>
      </c>
      <c r="K81" s="1">
        <v>35841000</v>
      </c>
      <c r="L81" s="1">
        <v>109513000</v>
      </c>
      <c r="M81" s="1">
        <v>54046000</v>
      </c>
    </row>
    <row r="82" spans="1:21" ht="19" x14ac:dyDescent="0.25">
      <c r="A82" s="5" t="s">
        <v>70</v>
      </c>
      <c r="B82" s="1">
        <v>-1429000</v>
      </c>
      <c r="C82" s="1">
        <v>-3077000</v>
      </c>
      <c r="D82" s="1">
        <v>-2478000</v>
      </c>
      <c r="E82" s="1">
        <v>-7890000</v>
      </c>
      <c r="F82" s="1">
        <v>-11249000</v>
      </c>
      <c r="G82" s="1">
        <v>-14099000</v>
      </c>
      <c r="H82" s="1">
        <v>-20180000</v>
      </c>
      <c r="I82" s="1">
        <v>-17726000</v>
      </c>
      <c r="J82" s="1">
        <v>-15428000</v>
      </c>
      <c r="K82" s="1">
        <v>-29971000</v>
      </c>
      <c r="L82" s="1">
        <v>-34107000</v>
      </c>
      <c r="M82" s="1">
        <v>-73985000</v>
      </c>
    </row>
    <row r="83" spans="1:21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T83" s="34" t="s">
        <v>127</v>
      </c>
      <c r="U83" s="35"/>
    </row>
    <row r="84" spans="1:21" ht="19" x14ac:dyDescent="0.25">
      <c r="A84" s="5" t="s">
        <v>47</v>
      </c>
      <c r="B84" s="1">
        <v>480000</v>
      </c>
      <c r="C84" s="1">
        <v>1190000</v>
      </c>
      <c r="D84" s="1">
        <v>-1158000</v>
      </c>
      <c r="E84" s="1">
        <v>286000</v>
      </c>
      <c r="F84" s="1">
        <v>-508000</v>
      </c>
      <c r="G84" s="1">
        <v>983000</v>
      </c>
      <c r="H84" s="1">
        <v>1100000</v>
      </c>
      <c r="I84" s="1">
        <v>3298000</v>
      </c>
      <c r="J84" s="1">
        <v>3927000</v>
      </c>
      <c r="K84" s="1">
        <v>3697000</v>
      </c>
      <c r="L84" s="1">
        <v>-10608000</v>
      </c>
      <c r="M84" s="1">
        <v>18277000</v>
      </c>
      <c r="T84" s="36" t="s">
        <v>128</v>
      </c>
      <c r="U84" s="37"/>
    </row>
    <row r="85" spans="1:21" ht="20" x14ac:dyDescent="0.25">
      <c r="A85" s="5" t="s">
        <v>71</v>
      </c>
      <c r="B85" s="1">
        <v>2128000</v>
      </c>
      <c r="C85" s="1">
        <v>7503000</v>
      </c>
      <c r="D85" s="1">
        <v>7827000</v>
      </c>
      <c r="E85" s="1">
        <v>16704000</v>
      </c>
      <c r="F85" s="1">
        <v>22939000</v>
      </c>
      <c r="G85" s="1">
        <v>31751000</v>
      </c>
      <c r="H85" s="1">
        <v>38554000</v>
      </c>
      <c r="I85" s="1">
        <v>31215000</v>
      </c>
      <c r="J85" s="1">
        <v>39599000</v>
      </c>
      <c r="K85" s="1">
        <v>53336000</v>
      </c>
      <c r="L85" s="1">
        <v>95156000</v>
      </c>
      <c r="M85" s="1" t="s">
        <v>92</v>
      </c>
      <c r="T85" s="24" t="s">
        <v>129</v>
      </c>
      <c r="U85" s="25">
        <f>M17</f>
        <v>3762000</v>
      </c>
    </row>
    <row r="86" spans="1:21" ht="20" x14ac:dyDescent="0.25">
      <c r="A86" s="5" t="s">
        <v>72</v>
      </c>
      <c r="B86" s="1">
        <v>324000</v>
      </c>
      <c r="C86" s="1">
        <v>434000</v>
      </c>
      <c r="D86" s="1">
        <v>1431000</v>
      </c>
      <c r="E86" s="1">
        <v>705000</v>
      </c>
      <c r="F86" s="1">
        <v>2135000</v>
      </c>
      <c r="G86" s="1">
        <v>4696000</v>
      </c>
      <c r="H86" s="1">
        <v>15690000</v>
      </c>
      <c r="I86" s="1">
        <v>16367000</v>
      </c>
      <c r="J86" s="1">
        <v>7474000</v>
      </c>
      <c r="K86" s="1">
        <v>-18260000</v>
      </c>
      <c r="L86" s="1">
        <v>-1999000</v>
      </c>
      <c r="M86" s="1" t="s">
        <v>92</v>
      </c>
      <c r="T86" s="24" t="s">
        <v>130</v>
      </c>
      <c r="U86" s="25">
        <f>M56</f>
        <v>35928000</v>
      </c>
    </row>
    <row r="87" spans="1:21" ht="20" x14ac:dyDescent="0.25">
      <c r="A87" s="6" t="s">
        <v>73</v>
      </c>
      <c r="B87" s="10">
        <v>-12529000</v>
      </c>
      <c r="C87" s="10">
        <v>-5807000</v>
      </c>
      <c r="D87" s="10">
        <v>-19808000</v>
      </c>
      <c r="E87" s="10">
        <v>-12464000</v>
      </c>
      <c r="F87" s="10">
        <v>-423000</v>
      </c>
      <c r="G87" s="10">
        <v>19366000</v>
      </c>
      <c r="H87" s="10">
        <v>49614000</v>
      </c>
      <c r="I87" s="10">
        <v>84851000</v>
      </c>
      <c r="J87" s="10">
        <v>118973000</v>
      </c>
      <c r="K87" s="10">
        <v>88913000</v>
      </c>
      <c r="L87" s="10">
        <v>238728000</v>
      </c>
      <c r="M87" s="10">
        <v>273174000</v>
      </c>
      <c r="T87" s="24" t="s">
        <v>131</v>
      </c>
      <c r="U87" s="25">
        <f>M61</f>
        <v>770411000</v>
      </c>
    </row>
    <row r="88" spans="1:21" ht="20" x14ac:dyDescent="0.25">
      <c r="A88" s="5" t="s">
        <v>74</v>
      </c>
      <c r="B88" s="1">
        <v>-1172000</v>
      </c>
      <c r="C88" s="1">
        <v>-322000</v>
      </c>
      <c r="D88" s="1">
        <v>-4358000</v>
      </c>
      <c r="E88" s="1">
        <v>-7266000</v>
      </c>
      <c r="F88" s="1">
        <v>-8427000</v>
      </c>
      <c r="G88" s="1">
        <v>-15789000</v>
      </c>
      <c r="H88" s="1">
        <v>-20276000</v>
      </c>
      <c r="I88" s="1">
        <v>-22305000</v>
      </c>
      <c r="J88" s="1">
        <v>-40372000</v>
      </c>
      <c r="K88" s="1">
        <v>-37274000</v>
      </c>
      <c r="L88" s="1">
        <v>-28726000</v>
      </c>
      <c r="M88" s="1">
        <v>-37426000</v>
      </c>
      <c r="T88" s="38" t="s">
        <v>132</v>
      </c>
      <c r="U88" s="39">
        <f>U85/(U86+U87)</f>
        <v>4.6655314948179363E-3</v>
      </c>
    </row>
    <row r="89" spans="1:21" ht="20" customHeight="1" x14ac:dyDescent="0.25">
      <c r="A89" s="14" t="s">
        <v>106</v>
      </c>
      <c r="B89" s="15">
        <f t="shared" ref="B89:M89" si="7">(-1*B88)/B3</f>
        <v>4.1046474976359749E-2</v>
      </c>
      <c r="C89" s="15">
        <f t="shared" si="7"/>
        <v>6.2398263700488331E-3</v>
      </c>
      <c r="D89" s="15">
        <f t="shared" si="7"/>
        <v>5.6135198495504544E-2</v>
      </c>
      <c r="E89" s="15">
        <f t="shared" si="7"/>
        <v>6.2704960474990509E-2</v>
      </c>
      <c r="F89" s="15">
        <f t="shared" si="7"/>
        <v>4.6316703582990275E-2</v>
      </c>
      <c r="G89" s="15">
        <f t="shared" si="7"/>
        <v>5.8269088117741272E-2</v>
      </c>
      <c r="H89" s="15">
        <f t="shared" si="7"/>
        <v>5.3981235956252732E-2</v>
      </c>
      <c r="I89" s="15">
        <f t="shared" si="7"/>
        <v>4.348122733829779E-2</v>
      </c>
      <c r="J89" s="15">
        <f t="shared" si="7"/>
        <v>5.9822778057671222E-2</v>
      </c>
      <c r="K89" s="15">
        <f t="shared" si="7"/>
        <v>4.2211667606616342E-2</v>
      </c>
      <c r="L89" s="15">
        <f t="shared" si="7"/>
        <v>2.2085744292504254E-2</v>
      </c>
      <c r="M89" s="15">
        <f t="shared" si="7"/>
        <v>2.1621415519284284E-2</v>
      </c>
      <c r="T89" s="24" t="s">
        <v>107</v>
      </c>
      <c r="U89" s="25">
        <f>M27</f>
        <v>8057000</v>
      </c>
    </row>
    <row r="90" spans="1:21" ht="20" x14ac:dyDescent="0.25">
      <c r="A90" s="5" t="s">
        <v>75</v>
      </c>
      <c r="B90" s="1">
        <v>1022000</v>
      </c>
      <c r="C90" s="1" t="s">
        <v>92</v>
      </c>
      <c r="D90" s="1" t="s">
        <v>92</v>
      </c>
      <c r="E90" s="1" t="s">
        <v>92</v>
      </c>
      <c r="F90" s="1">
        <v>-600000</v>
      </c>
      <c r="G90" s="1" t="s">
        <v>92</v>
      </c>
      <c r="H90" s="1">
        <v>-12915000</v>
      </c>
      <c r="I90" s="1">
        <v>-500000</v>
      </c>
      <c r="J90" s="1">
        <v>-23867000</v>
      </c>
      <c r="K90" s="1">
        <v>-2500000</v>
      </c>
      <c r="L90" s="1">
        <v>-19910000</v>
      </c>
      <c r="M90" s="1" t="s">
        <v>92</v>
      </c>
      <c r="T90" s="24" t="s">
        <v>19</v>
      </c>
      <c r="U90" s="25">
        <f>M25</f>
        <v>-104692000</v>
      </c>
    </row>
    <row r="91" spans="1:21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-113615000</v>
      </c>
      <c r="G91" s="1">
        <v>-52131000</v>
      </c>
      <c r="H91" s="1">
        <v>-893509000</v>
      </c>
      <c r="I91" s="1">
        <v>-682132000</v>
      </c>
      <c r="J91" s="1">
        <v>-1305400000</v>
      </c>
      <c r="K91" s="1">
        <v>-1517357000</v>
      </c>
      <c r="L91" s="1">
        <v>-1497851000</v>
      </c>
      <c r="M91" s="1">
        <v>-1534241000</v>
      </c>
      <c r="T91" s="38" t="s">
        <v>133</v>
      </c>
      <c r="U91" s="39">
        <f>U89/U90</f>
        <v>-7.6959079967905852E-2</v>
      </c>
    </row>
    <row r="92" spans="1:21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23018000</v>
      </c>
      <c r="G92" s="1">
        <v>50840000</v>
      </c>
      <c r="H92" s="1">
        <v>533660000</v>
      </c>
      <c r="I92" s="1">
        <v>644375000</v>
      </c>
      <c r="J92" s="1">
        <v>1066366000</v>
      </c>
      <c r="K92" s="1">
        <v>1363163000</v>
      </c>
      <c r="L92" s="1">
        <v>1400118000</v>
      </c>
      <c r="M92" s="1">
        <v>1309504000</v>
      </c>
      <c r="T92" s="40" t="s">
        <v>134</v>
      </c>
      <c r="U92" s="41">
        <f>U88*(1-U91)</f>
        <v>5.024586506220413E-3</v>
      </c>
    </row>
    <row r="93" spans="1:21" ht="19" x14ac:dyDescent="0.25">
      <c r="A93" s="5" t="s">
        <v>78</v>
      </c>
      <c r="B93" s="1">
        <v>-1684000</v>
      </c>
      <c r="C93" s="1">
        <v>-2071000</v>
      </c>
      <c r="D93" s="1">
        <v>-4812000</v>
      </c>
      <c r="E93" s="1">
        <v>-3214000</v>
      </c>
      <c r="F93" s="1">
        <v>-4480000</v>
      </c>
      <c r="G93" s="1">
        <v>-5877000</v>
      </c>
      <c r="H93" s="1">
        <v>-8157000</v>
      </c>
      <c r="I93" s="1">
        <v>-10668000</v>
      </c>
      <c r="J93" s="1">
        <v>-12921000</v>
      </c>
      <c r="K93" s="1">
        <v>-21599000</v>
      </c>
      <c r="L93" s="1">
        <v>-33139000</v>
      </c>
      <c r="M93" s="1">
        <v>-57495000</v>
      </c>
      <c r="T93" s="36" t="s">
        <v>135</v>
      </c>
      <c r="U93" s="37"/>
    </row>
    <row r="94" spans="1:21" ht="20" x14ac:dyDescent="0.25">
      <c r="A94" s="6" t="s">
        <v>79</v>
      </c>
      <c r="B94" s="10">
        <v>-1834000</v>
      </c>
      <c r="C94" s="10">
        <v>-2393000</v>
      </c>
      <c r="D94" s="10">
        <v>-9170000</v>
      </c>
      <c r="E94" s="10">
        <v>-10480000</v>
      </c>
      <c r="F94" s="10">
        <v>-104104000</v>
      </c>
      <c r="G94" s="10">
        <v>-22957000</v>
      </c>
      <c r="H94" s="10">
        <v>-401197000</v>
      </c>
      <c r="I94" s="10">
        <v>-71230000</v>
      </c>
      <c r="J94" s="10">
        <v>-316194000</v>
      </c>
      <c r="K94" s="10">
        <v>-215567000</v>
      </c>
      <c r="L94" s="10">
        <v>-179508000</v>
      </c>
      <c r="M94" s="10">
        <v>-319658000</v>
      </c>
      <c r="T94" s="24" t="s">
        <v>136</v>
      </c>
      <c r="U94" s="42">
        <v>4.095E-2</v>
      </c>
    </row>
    <row r="95" spans="1:21" ht="20" x14ac:dyDescent="0.25">
      <c r="A95" s="5" t="s">
        <v>80</v>
      </c>
      <c r="B95" s="1">
        <v>-197000</v>
      </c>
      <c r="C95" s="1">
        <v>-458000</v>
      </c>
      <c r="D95" s="1">
        <v>-107000</v>
      </c>
      <c r="E95" s="1">
        <v>-18121000</v>
      </c>
      <c r="F95" s="1">
        <v>-206000</v>
      </c>
      <c r="G95" s="1">
        <v>-743000</v>
      </c>
      <c r="H95" s="1">
        <v>-1054000</v>
      </c>
      <c r="I95" s="1">
        <v>-744000</v>
      </c>
      <c r="J95" s="1">
        <v>-617000</v>
      </c>
      <c r="K95" s="1">
        <v>-236021000</v>
      </c>
      <c r="L95" s="1">
        <v>-89525000</v>
      </c>
      <c r="M95" s="1">
        <v>-1619000</v>
      </c>
      <c r="T95" s="43" t="s">
        <v>137</v>
      </c>
      <c r="U95" s="44">
        <v>1.61</v>
      </c>
    </row>
    <row r="96" spans="1:21" ht="20" x14ac:dyDescent="0.25">
      <c r="A96" s="5" t="s">
        <v>81</v>
      </c>
      <c r="B96" s="1">
        <v>21348000</v>
      </c>
      <c r="C96" s="1" t="s">
        <v>92</v>
      </c>
      <c r="D96" s="1" t="s">
        <v>92</v>
      </c>
      <c r="E96" s="1">
        <v>130764000</v>
      </c>
      <c r="F96" s="1">
        <v>33669000</v>
      </c>
      <c r="G96" s="1" t="s">
        <v>92</v>
      </c>
      <c r="H96" s="1" t="s">
        <v>92</v>
      </c>
      <c r="I96" s="1" t="s">
        <v>92</v>
      </c>
      <c r="J96" s="1">
        <v>342628000</v>
      </c>
      <c r="K96" s="1" t="s">
        <v>92</v>
      </c>
      <c r="L96" s="1">
        <v>46510000</v>
      </c>
      <c r="M96" s="1">
        <v>39931000</v>
      </c>
      <c r="T96" s="24" t="s">
        <v>138</v>
      </c>
      <c r="U96" s="42">
        <v>8.4000000000000005E-2</v>
      </c>
    </row>
    <row r="97" spans="1:21" ht="20" x14ac:dyDescent="0.25">
      <c r="A97" s="5" t="s">
        <v>82</v>
      </c>
      <c r="B97" s="1">
        <v>-9000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T97" s="40" t="s">
        <v>139</v>
      </c>
      <c r="U97" s="41">
        <f>(U94)+((U95)*(U96-U94))</f>
        <v>0.11026050000000001</v>
      </c>
    </row>
    <row r="98" spans="1:21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T98" s="36" t="s">
        <v>140</v>
      </c>
      <c r="U98" s="37"/>
    </row>
    <row r="99" spans="1:21" ht="20" x14ac:dyDescent="0.25">
      <c r="A99" s="5" t="s">
        <v>84</v>
      </c>
      <c r="B99" s="1">
        <v>238000</v>
      </c>
      <c r="C99" s="1">
        <v>35793000</v>
      </c>
      <c r="D99" s="1">
        <v>621000</v>
      </c>
      <c r="E99" s="1">
        <v>21794000</v>
      </c>
      <c r="F99" s="1">
        <v>3476000</v>
      </c>
      <c r="G99" s="1">
        <v>9216000</v>
      </c>
      <c r="H99" s="1">
        <v>377860000</v>
      </c>
      <c r="I99" s="1">
        <v>13522000</v>
      </c>
      <c r="J99" s="1">
        <v>17331000</v>
      </c>
      <c r="K99" s="1">
        <v>458481000</v>
      </c>
      <c r="L99" s="1">
        <v>-8454000</v>
      </c>
      <c r="M99" s="1">
        <v>-30884000</v>
      </c>
      <c r="T99" s="24" t="s">
        <v>141</v>
      </c>
      <c r="U99" s="25">
        <f>U86+U87</f>
        <v>806339000</v>
      </c>
    </row>
    <row r="100" spans="1:21" ht="20" x14ac:dyDescent="0.25">
      <c r="A100" s="6" t="s">
        <v>85</v>
      </c>
      <c r="B100" s="10">
        <v>21380000</v>
      </c>
      <c r="C100" s="10">
        <v>35335000</v>
      </c>
      <c r="D100" s="10">
        <v>514000</v>
      </c>
      <c r="E100" s="10">
        <v>134437000</v>
      </c>
      <c r="F100" s="10">
        <v>36939000</v>
      </c>
      <c r="G100" s="10">
        <v>8473000</v>
      </c>
      <c r="H100" s="10">
        <v>376806000</v>
      </c>
      <c r="I100" s="10">
        <v>12778000</v>
      </c>
      <c r="J100" s="10">
        <v>359342000</v>
      </c>
      <c r="K100" s="10">
        <v>222460000</v>
      </c>
      <c r="L100" s="10">
        <v>-51469000</v>
      </c>
      <c r="M100" s="10">
        <v>7428000</v>
      </c>
      <c r="T100" s="38" t="s">
        <v>142</v>
      </c>
      <c r="U100" s="39">
        <f>U99/U103</f>
        <v>4.1266760724024923E-2</v>
      </c>
    </row>
    <row r="101" spans="1:21" ht="20" x14ac:dyDescent="0.25">
      <c r="A101" s="5" t="s">
        <v>86</v>
      </c>
      <c r="B101" s="1" t="s">
        <v>92</v>
      </c>
      <c r="C101" s="1">
        <v>-10000</v>
      </c>
      <c r="D101" s="1">
        <v>10000</v>
      </c>
      <c r="E101" s="1">
        <v>-415000</v>
      </c>
      <c r="F101" s="1">
        <v>-553000</v>
      </c>
      <c r="G101" s="1">
        <v>-760000</v>
      </c>
      <c r="H101" s="1">
        <v>2755000</v>
      </c>
      <c r="I101" s="1">
        <v>-2069000</v>
      </c>
      <c r="J101" s="1">
        <v>-720000</v>
      </c>
      <c r="K101" s="1">
        <v>6831000</v>
      </c>
      <c r="L101" s="1">
        <v>-8861000</v>
      </c>
      <c r="M101" s="1">
        <v>-6811000</v>
      </c>
      <c r="T101" s="24" t="s">
        <v>143</v>
      </c>
      <c r="U101" s="45">
        <f>O116*M34</f>
        <v>18733333750</v>
      </c>
    </row>
    <row r="102" spans="1:21" ht="20" x14ac:dyDescent="0.25">
      <c r="A102" s="6" t="s">
        <v>87</v>
      </c>
      <c r="B102" s="10">
        <v>7017000</v>
      </c>
      <c r="C102" s="10">
        <v>27125000</v>
      </c>
      <c r="D102" s="10">
        <v>-28454000</v>
      </c>
      <c r="E102" s="10">
        <v>111078000</v>
      </c>
      <c r="F102" s="10">
        <v>-68141000</v>
      </c>
      <c r="G102" s="10">
        <v>4122000</v>
      </c>
      <c r="H102" s="10">
        <v>27978000</v>
      </c>
      <c r="I102" s="10">
        <v>24330000</v>
      </c>
      <c r="J102" s="10">
        <v>161401000</v>
      </c>
      <c r="K102" s="10">
        <v>102637000</v>
      </c>
      <c r="L102" s="10">
        <v>-1110000</v>
      </c>
      <c r="M102" s="10">
        <v>-45867000</v>
      </c>
      <c r="T102" s="38" t="s">
        <v>144</v>
      </c>
      <c r="U102" s="39">
        <f>U101/U103</f>
        <v>0.95873323927597509</v>
      </c>
    </row>
    <row r="103" spans="1:21" ht="20" x14ac:dyDescent="0.25">
      <c r="A103" s="5" t="s">
        <v>88</v>
      </c>
      <c r="B103" s="1">
        <v>6955000</v>
      </c>
      <c r="C103" s="1">
        <v>13972000</v>
      </c>
      <c r="D103" s="1">
        <v>41097000</v>
      </c>
      <c r="E103" s="1">
        <v>12643000</v>
      </c>
      <c r="F103" s="1">
        <v>123721000</v>
      </c>
      <c r="G103" s="1">
        <v>55580000</v>
      </c>
      <c r="H103" s="1">
        <v>59702000</v>
      </c>
      <c r="I103" s="1">
        <v>92784000</v>
      </c>
      <c r="J103" s="1">
        <v>117114000</v>
      </c>
      <c r="K103" s="1">
        <v>278515000</v>
      </c>
      <c r="L103" s="1">
        <v>381152000</v>
      </c>
      <c r="M103" s="1">
        <v>380042000</v>
      </c>
      <c r="T103" s="40" t="s">
        <v>145</v>
      </c>
      <c r="U103" s="46">
        <f>U99+U101</f>
        <v>19539672750</v>
      </c>
    </row>
    <row r="104" spans="1:21" ht="19" x14ac:dyDescent="0.25">
      <c r="A104" s="7" t="s">
        <v>89</v>
      </c>
      <c r="B104" s="11">
        <v>13972000</v>
      </c>
      <c r="C104" s="11">
        <v>41097000</v>
      </c>
      <c r="D104" s="11">
        <v>12643000</v>
      </c>
      <c r="E104" s="11">
        <v>123721000</v>
      </c>
      <c r="F104" s="11">
        <v>55580000</v>
      </c>
      <c r="G104" s="11">
        <v>59702000</v>
      </c>
      <c r="H104" s="11">
        <v>87680000</v>
      </c>
      <c r="I104" s="11">
        <v>117114000</v>
      </c>
      <c r="J104" s="11">
        <v>278515000</v>
      </c>
      <c r="K104" s="11">
        <v>381152000</v>
      </c>
      <c r="L104" s="11">
        <v>380042000</v>
      </c>
      <c r="M104" s="11">
        <v>334175000</v>
      </c>
      <c r="T104" s="36" t="s">
        <v>146</v>
      </c>
      <c r="U104" s="37"/>
    </row>
    <row r="105" spans="1:21" ht="20" x14ac:dyDescent="0.25">
      <c r="A105" s="14" t="s">
        <v>108</v>
      </c>
      <c r="B105" s="1"/>
      <c r="C105" s="15">
        <f>(C106/B106)-1</f>
        <v>-0.45466363340916482</v>
      </c>
      <c r="D105" s="15">
        <f>(D106/C106)-1</f>
        <v>2.3120381406436232</v>
      </c>
      <c r="E105" s="15">
        <f>(E106/D106)-1</f>
        <v>-0.1203397149848856</v>
      </c>
      <c r="F105" s="15">
        <f>(F106/E106)-1</f>
        <v>-0.46146293568973984</v>
      </c>
      <c r="G105" s="15">
        <f t="shared" ref="G105:M105" si="8">(G106/F106)-1</f>
        <v>-0.83500455788514127</v>
      </c>
      <c r="H105" s="15">
        <f t="shared" si="8"/>
        <v>-11.25184162062615</v>
      </c>
      <c r="I105" s="15">
        <f t="shared" si="8"/>
        <v>1.3073606682534691</v>
      </c>
      <c r="J105" s="15">
        <f t="shared" si="8"/>
        <v>0.26760481139787462</v>
      </c>
      <c r="K105" s="15">
        <f t="shared" si="8"/>
        <v>-0.53874737052221044</v>
      </c>
      <c r="L105" s="15">
        <f t="shared" si="8"/>
        <v>4.8875832223701732</v>
      </c>
      <c r="M105" s="15">
        <f t="shared" si="8"/>
        <v>8.2210524530286211E-2</v>
      </c>
      <c r="N105" s="15"/>
      <c r="O105" s="15"/>
      <c r="P105" s="15"/>
      <c r="Q105" s="15"/>
      <c r="R105" s="15"/>
      <c r="S105" s="15"/>
      <c r="T105" s="26" t="s">
        <v>109</v>
      </c>
      <c r="U105" s="27">
        <f>(U100*U92)+(U102*U97)</f>
        <v>0.10591775473827802</v>
      </c>
    </row>
    <row r="106" spans="1:21" ht="19" x14ac:dyDescent="0.25">
      <c r="A106" s="5" t="s">
        <v>90</v>
      </c>
      <c r="B106" s="1">
        <v>-15385000</v>
      </c>
      <c r="C106" s="1">
        <v>-8390000</v>
      </c>
      <c r="D106" s="1">
        <v>-27788000</v>
      </c>
      <c r="E106" s="1">
        <v>-24444000</v>
      </c>
      <c r="F106" s="1">
        <v>-13164000</v>
      </c>
      <c r="G106" s="1">
        <v>-2172000</v>
      </c>
      <c r="H106" s="1">
        <v>22267000</v>
      </c>
      <c r="I106" s="1">
        <v>51378000</v>
      </c>
      <c r="J106" s="1">
        <v>65127000</v>
      </c>
      <c r="K106" s="1">
        <v>30040000</v>
      </c>
      <c r="L106" s="1">
        <v>176863000</v>
      </c>
      <c r="M106" s="1">
        <v>191403000</v>
      </c>
      <c r="N106" s="47">
        <f>M106*(1+$U$106)</f>
        <v>230811411.76838955</v>
      </c>
      <c r="O106" s="47">
        <f t="shared" ref="O106:R106" si="9">N106*(1+$U$106)</f>
        <v>278333713.69579929</v>
      </c>
      <c r="P106" s="47">
        <f t="shared" si="9"/>
        <v>335640493.62270278</v>
      </c>
      <c r="Q106" s="47">
        <f t="shared" si="9"/>
        <v>404746300.63110387</v>
      </c>
      <c r="R106" s="47">
        <f t="shared" si="9"/>
        <v>488080464.02981198</v>
      </c>
      <c r="S106" s="48" t="s">
        <v>147</v>
      </c>
      <c r="T106" s="49" t="s">
        <v>148</v>
      </c>
      <c r="U106" s="50">
        <f>(SUM(N4:R4)/5)</f>
        <v>0.20589234112521523</v>
      </c>
    </row>
    <row r="107" spans="1:2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48"/>
      <c r="O107" s="48"/>
      <c r="P107" s="48"/>
      <c r="Q107" s="48"/>
      <c r="R107" s="51">
        <f>R106*(1+U107)/(U108-U107)</f>
        <v>6182604513.0476084</v>
      </c>
      <c r="S107" s="52" t="s">
        <v>149</v>
      </c>
      <c r="T107" s="53" t="s">
        <v>150</v>
      </c>
      <c r="U107" s="54">
        <v>2.5000000000000001E-2</v>
      </c>
    </row>
    <row r="108" spans="1:21" ht="19" x14ac:dyDescent="0.25">
      <c r="N108" s="51">
        <f t="shared" ref="N108:P108" si="10">N107+N106</f>
        <v>230811411.76838955</v>
      </c>
      <c r="O108" s="51">
        <f t="shared" si="10"/>
        <v>278333713.69579929</v>
      </c>
      <c r="P108" s="51">
        <f t="shared" si="10"/>
        <v>335640493.62270278</v>
      </c>
      <c r="Q108" s="51">
        <f>Q107+Q106</f>
        <v>404746300.63110387</v>
      </c>
      <c r="R108" s="51">
        <f>R107+R106</f>
        <v>6670684977.0774202</v>
      </c>
      <c r="S108" s="52" t="s">
        <v>145</v>
      </c>
      <c r="T108" s="55" t="s">
        <v>151</v>
      </c>
      <c r="U108" s="56">
        <f>U105</f>
        <v>0.10591775473827802</v>
      </c>
    </row>
    <row r="109" spans="1:21" ht="19" x14ac:dyDescent="0.25">
      <c r="N109" s="57" t="s">
        <v>152</v>
      </c>
      <c r="O109" s="58"/>
    </row>
    <row r="110" spans="1:21" ht="20" x14ac:dyDescent="0.25">
      <c r="N110" s="59" t="s">
        <v>153</v>
      </c>
      <c r="O110" s="45">
        <f>NPV(U108,N108,O108,P108,Q108,R108)</f>
        <v>4987333053.6544895</v>
      </c>
    </row>
    <row r="111" spans="1:21" ht="20" x14ac:dyDescent="0.25">
      <c r="N111" s="59" t="s">
        <v>154</v>
      </c>
      <c r="O111" s="45">
        <f>M40</f>
        <v>1412684000</v>
      </c>
    </row>
    <row r="112" spans="1:21" ht="20" x14ac:dyDescent="0.25">
      <c r="N112" s="59" t="s">
        <v>141</v>
      </c>
      <c r="O112" s="45">
        <f>U99</f>
        <v>806339000</v>
      </c>
    </row>
    <row r="113" spans="14:15" ht="20" x14ac:dyDescent="0.25">
      <c r="N113" s="59" t="s">
        <v>155</v>
      </c>
      <c r="O113" s="45">
        <f>O110+O111-O112</f>
        <v>5593678053.6544895</v>
      </c>
    </row>
    <row r="114" spans="14:15" ht="20" x14ac:dyDescent="0.25">
      <c r="N114" s="59" t="s">
        <v>156</v>
      </c>
      <c r="O114" s="60">
        <f>M34*(1+(5*S16))</f>
        <v>61324791.93938946</v>
      </c>
    </row>
    <row r="115" spans="14:15" ht="20" x14ac:dyDescent="0.25">
      <c r="N115" s="61" t="s">
        <v>157</v>
      </c>
      <c r="O115" s="62">
        <f>O113/O114</f>
        <v>91.21397524157959</v>
      </c>
    </row>
    <row r="116" spans="14:15" ht="20" x14ac:dyDescent="0.25">
      <c r="N116" s="63" t="s">
        <v>158</v>
      </c>
      <c r="O116" s="64">
        <v>389.75</v>
      </c>
    </row>
    <row r="117" spans="14:15" ht="20" x14ac:dyDescent="0.25">
      <c r="N117" s="65" t="s">
        <v>159</v>
      </c>
      <c r="O117" s="66">
        <f>O115/O116-1</f>
        <v>-0.76596799168292606</v>
      </c>
    </row>
    <row r="118" spans="14:15" ht="20" x14ac:dyDescent="0.25">
      <c r="N118" s="65" t="s">
        <v>160</v>
      </c>
      <c r="O118" s="67" t="str">
        <f>IF(O115&gt;O116,"BUY","SELL")</f>
        <v>SELL</v>
      </c>
    </row>
  </sheetData>
  <mergeCells count="6">
    <mergeCell ref="T83:U83"/>
    <mergeCell ref="T84:U84"/>
    <mergeCell ref="T93:U93"/>
    <mergeCell ref="T98:U98"/>
    <mergeCell ref="T104:U104"/>
    <mergeCell ref="N109:O109"/>
  </mergeCells>
  <hyperlinks>
    <hyperlink ref="A1" r:id="rId1" tooltip="https://roic.ai/company/HUBS" display="ROIC.AI | HUB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404655/000119312515079000/0001193125-15-079000-index.htm" xr:uid="{00000000-0004-0000-0000-00000A000000}"/>
    <hyperlink ref="E74" r:id="rId9" tooltip="https://www.sec.gov/Archives/edgar/data/1404655/000119312515079000/0001193125-15-079000-index.htm" xr:uid="{00000000-0004-0000-0000-00000B000000}"/>
    <hyperlink ref="F36" r:id="rId10" tooltip="https://www.sec.gov/Archives/edgar/data/1404655/000156459016013204/0001564590-16-013204-index.htm" xr:uid="{00000000-0004-0000-0000-00000D000000}"/>
    <hyperlink ref="F74" r:id="rId11" tooltip="https://www.sec.gov/Archives/edgar/data/1404655/000156459016013204/0001564590-16-013204-index.htm" xr:uid="{00000000-0004-0000-0000-00000E000000}"/>
    <hyperlink ref="G36" r:id="rId12" tooltip="https://www.sec.gov/Archives/edgar/data/1404655/000156459017001694/0001564590-17-001694-index.htm" xr:uid="{00000000-0004-0000-0000-000010000000}"/>
    <hyperlink ref="G74" r:id="rId13" tooltip="https://www.sec.gov/Archives/edgar/data/1404655/000156459017001694/0001564590-17-001694-index.htm" xr:uid="{00000000-0004-0000-0000-000011000000}"/>
    <hyperlink ref="H36" r:id="rId14" tooltip="https://www.sec.gov/Archives/edgar/data/1404655/000156459018001962/0001564590-18-001962-index.htm" xr:uid="{00000000-0004-0000-0000-000013000000}"/>
    <hyperlink ref="H74" r:id="rId15" tooltip="https://www.sec.gov/Archives/edgar/data/1404655/000156459018001962/0001564590-18-001962-index.htm" xr:uid="{00000000-0004-0000-0000-000014000000}"/>
    <hyperlink ref="I36" r:id="rId16" tooltip="https://www.sec.gov/Archives/edgar/data/1404655/000156459019002699/0001564590-19-002699-index.htm" xr:uid="{00000000-0004-0000-0000-000016000000}"/>
    <hyperlink ref="I74" r:id="rId17" tooltip="https://www.sec.gov/Archives/edgar/data/1404655/000156459019002699/0001564590-19-002699-index.htm" xr:uid="{00000000-0004-0000-0000-000017000000}"/>
    <hyperlink ref="J36" r:id="rId18" tooltip="https://www.sec.gov/Archives/edgar/data/1404655/000156459020004381/0001564590-20-004381-index.htm" xr:uid="{00000000-0004-0000-0000-000019000000}"/>
    <hyperlink ref="J74" r:id="rId19" tooltip="https://www.sec.gov/Archives/edgar/data/1404655/000156459020004381/0001564590-20-004381-index.htm" xr:uid="{00000000-0004-0000-0000-00001A000000}"/>
    <hyperlink ref="K36" r:id="rId20" tooltip="https://www.sec.gov/Archives/edgar/data/1404655/000156459021006083/0001564590-21-006083-index.htm" xr:uid="{00000000-0004-0000-0000-00001C000000}"/>
    <hyperlink ref="K74" r:id="rId21" tooltip="https://www.sec.gov/Archives/edgar/data/1404655/000156459021006083/0001564590-21-006083-index.htm" xr:uid="{00000000-0004-0000-0000-00001D000000}"/>
    <hyperlink ref="L36" r:id="rId22" tooltip="https://www.sec.gov/Archives/edgar/data/1404655/000095017022001221/0000950170-22-001221-index.htm" xr:uid="{00000000-0004-0000-0000-00001F000000}"/>
    <hyperlink ref="L74" r:id="rId23" tooltip="https://www.sec.gov/Archives/edgar/data/1404655/000095017022001221/0000950170-22-001221-index.htm" xr:uid="{00000000-0004-0000-0000-000020000000}"/>
    <hyperlink ref="M36" r:id="rId24" tooltip="https://www.sec.gov/Archives/edgar/data/1404655/000095017023003077/0000950170-23-003077-index.htm" xr:uid="{00000000-0004-0000-0000-000022000000}"/>
    <hyperlink ref="M74" r:id="rId25" tooltip="https://www.sec.gov/Archives/edgar/data/1404655/000095017023003077/0000950170-23-003077-index.htm" xr:uid="{00000000-0004-0000-0000-000023000000}"/>
    <hyperlink ref="N1" r:id="rId26" display="https://finbox.com/NYSE:HUBS/explorer/revenue_proj" xr:uid="{D524922D-5805-7146-9F7C-28CF542ADD20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2023-03-12T18:54:39Z</dcterms:created>
  <dcterms:modified xsi:type="dcterms:W3CDTF">2023-03-20T22:34:37Z</dcterms:modified>
</cp:coreProperties>
</file>