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F292A70D-6C93-F54A-BB6B-EB7132A20ED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6" i="2"/>
  <c r="K13" i="2"/>
  <c r="O10" i="2"/>
  <c r="O9" i="2"/>
  <c r="O7" i="2"/>
  <c r="G7" i="2"/>
  <c r="E7" i="2"/>
  <c r="O6" i="2"/>
  <c r="O19"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O14" i="2"/>
  <c r="O17" i="2" s="1"/>
  <c r="J14" i="2"/>
  <c r="I14" i="2"/>
  <c r="H14" i="2"/>
  <c r="G14" i="2"/>
  <c r="F14" i="2"/>
  <c r="C5" i="2" s="1"/>
  <c r="E14" i="2"/>
  <c r="D14" i="2"/>
  <c r="C14" i="2"/>
  <c r="B14" i="2"/>
  <c r="J13" i="2"/>
  <c r="I13" i="2"/>
  <c r="H13" i="2"/>
  <c r="G13" i="2"/>
  <c r="F13" i="2"/>
  <c r="E13" i="2"/>
  <c r="D13" i="2"/>
  <c r="E4" i="2" s="1"/>
  <c r="C13" i="2"/>
  <c r="O11" i="2"/>
  <c r="J11" i="2"/>
  <c r="I11" i="2"/>
  <c r="H11" i="2"/>
  <c r="G11" i="2"/>
  <c r="F11" i="2"/>
  <c r="K11" i="2" s="1"/>
  <c r="E11" i="2"/>
  <c r="D11" i="2"/>
  <c r="C11" i="2"/>
  <c r="E3" i="2" s="1"/>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5" i="2" l="1"/>
  <c r="G4" i="2"/>
  <c r="O8" i="2"/>
  <c r="O12" i="2" s="1"/>
  <c r="O20" i="2"/>
  <c r="C7" i="2"/>
  <c r="A6" i="2" l="1"/>
  <c r="A7" i="2"/>
  <c r="O21" i="2"/>
  <c r="O22" i="2" s="1"/>
  <c r="O23" i="2" l="1"/>
  <c r="N25" i="2" s="1"/>
  <c r="I6" i="2" s="1"/>
  <c r="I3" i="2" l="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<sst xmlns="http://schemas.openxmlformats.org/spreadsheetml/2006/main" count="1327" uniqueCount="254">
  <si>
    <t>2011 Y</t>
  </si>
  <si>
    <t>2012 Y</t>
  </si>
  <si>
    <t>2013 Y</t>
  </si>
  <si>
    <t>2014 Y</t>
  </si>
  <si>
    <t>2015 Y</t>
  </si>
  <si>
    <t>2016 Y</t>
  </si>
  <si>
    <t>2017 Y</t>
  </si>
  <si>
    <t>2018 Y</t>
  </si>
  <si>
    <t>2019 Y</t>
  </si>
  <si>
    <t>2020 Y</t>
  </si>
  <si>
    <t>2021 Y</t>
  </si>
  <si>
    <t>2022 Y</t>
  </si>
  <si>
    <t>2023 Y</t>
  </si>
  <si>
    <t>TTM</t>
  </si>
  <si>
    <t>2023 Q2</t>
  </si>
  <si>
    <t>2023 Q3</t>
  </si>
  <si>
    <t>2023 Q4</t>
  </si>
  <si>
    <t>2012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</si>
  <si>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</si>
  <si>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</si>
  <si>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</si>
  <si>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</si>
  <si>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</si>
  <si>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</si>
  <si>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</si>
  <si>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</si>
  <si>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</si>
  <si>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</si>
  <si>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</si>
  <si>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</si>
  <si>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</si>
  <si>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</si>
  <si>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</si>
  <si>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</si>
  <si>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</si>
  <si>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</si>
  <si>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</si>
  <si>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</si>
  <si>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</si>
  <si>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</si>
  <si>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</si>
  <si>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</si>
  <si>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</si>
  <si>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</si>
  <si>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</si>
  <si>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</si>
  <si>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</si>
  <si>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</si>
  <si>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</si>
  <si>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</si>
  <si>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</si>
  <si>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</si>
  <si>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</si>
  <si>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</si>
  <si>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</si>
  <si>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</si>
  <si>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</si>
  <si>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</si>
  <si>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</si>
  <si>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</si>
  <si>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</si>
  <si>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</si>
  <si>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</si>
  <si>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</si>
  <si>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</si>
  <si>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</si>
  <si>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</si>
  <si>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</si>
  <si>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</si>
  <si>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</si>
  <si>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</si>
  <si>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</si>
  <si>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</si>
  <si>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</si>
  <si>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</si>
  <si>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</si>
  <si>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</si>
  <si>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</si>
  <si>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</si>
  <si>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</si>
  <si>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</si>
  <si>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</si>
  <si>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</si>
  <si>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</si>
  <si>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</si>
  <si>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</si>
  <si>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</si>
  <si>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</si>
  <si>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</si>
  <si>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</si>
  <si>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</si>
  <si>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</si>
  <si>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</si>
  <si>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</si>
  <si>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</si>
  <si>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</si>
  <si>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</si>
  <si>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</si>
  <si>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</si>
  <si>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</si>
  <si>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</si>
  <si>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</si>
  <si>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</si>
  <si>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</si>
  <si>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</si>
  <si>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</si>
  <si>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</si>
  <si>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</si>
  <si>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</si>
  <si>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</si>
  <si>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</si>
  <si>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</si>
  <si>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</si>
  <si>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</si>
  <si>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</si>
  <si>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</si>
  <si>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</si>
  <si>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</si>
  <si>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</si>
  <si>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</si>
  <si>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</si>
  <si>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</si>
  <si>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</si>
  <si>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</si>
  <si>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</si>
  <si>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</si>
  <si>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</si>
  <si>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</si>
  <si>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</si>
  <si>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</si>
  <si>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</si>
  <si>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</si>
  <si>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</si>
  <si>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</si>
  <si>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</si>
  <si>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</si>
  <si>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</si>
  <si>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</si>
  <si>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</si>
  <si>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</si>
  <si>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</si>
  <si>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</si>
  <si>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</si>
  <si>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</si>
  <si>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</si>
  <si>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</si>
  <si>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</si>
  <si>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</si>
  <si>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</si>
  <si>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</si>
  <si>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</si>
  <si>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</si>
  <si>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</si>
  <si>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</si>
  <si>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</si>
  <si>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</si>
  <si>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</si>
  <si>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</si>
  <si>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</si>
  <si>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</si>
  <si>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</si>
  <si>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</si>
  <si>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</si>
  <si>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</si>
  <si>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</si>
  <si>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</si>
  <si>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</si>
  <si>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</si>
  <si>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</si>
  <si>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</si>
  <si>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</si>
  <si>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</si>
  <si>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</si>
  <si>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</si>
  <si>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</si>
  <si>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</si>
  <si>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</si>
  <si>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</si>
  <si>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</si>
  <si>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</si>
  <si>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</si>
  <si>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</si>
  <si>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</si>
  <si>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</si>
  <si>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</si>
  <si>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</si>
  <si>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</si>
  <si>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</si>
  <si>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</si>
  <si>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</si>
  <si>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</si>
  <si>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2024 Q1</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</si>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</sst>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http://en.wikipedia.org/wiki/Booz_Allen_Hamilton</v>
    <v>Wikipedia</v>
  </rv>
  <rv s="1">
    <v>0</v>
    <v>1</v>
  </rv>
  <rv s="2">
    <v>6</v>
    <v>https://www.bing.com/th?id=AMMS_3f45a22699ebd8afef986bcc913c46ba&amp;qlt=95</v>
    <v>2</v>
    <v>0</v>
    <v>https://www.bing.com/images/search?form=xlimg&amp;q=booz+allen+hamilton</v>
    <v>Image of BOOZ ALLEN HAMILTON HOLDING CORPORATION</v>
  </rv>
  <rv s="0">
    <v>https://www.bing.com/financeapi/forcetrigger?t=a1o5m7&amp;q=XNYS%3aBAH&amp;form=skydnc</v>
    <v>Learn more on Bing</v>
  </rv>
  <rv s="3">
    <v>0</v>
    <v>BOOZ ALLEN HAMILTON HOLDING CORPORATION (XNYS:BAH)</v>
    <v>3</v>
    <v>4</v>
    <v>Finance</v>
    <v>5</v>
    <v>en-US</v>
    <v>a1o5m7</v>
    <v>268435456</v>
    <v>1</v>
    <v>Powered by Refinitiv</v>
    <v>130.34</v>
    <v>87.99</v>
    <v>0.54990000000000006</v>
    <v>3.03</v>
    <v>2.4215E-2</v>
    <v>0.51</v>
    <v>3.9789999999999999E-3</v>
    <v>USD</v>
    <v>Booz Allen Hamilton Holding Corporation is a holding company. The Company provides management and technology consulting, analytics, engineering, digital solutions, mission operations, and cyber services to United States (US) and international governments, major corporations, and not-for-profit organizations. Its analytics service offering focuses on providing solutions the areas of artificial intelligence (AI), such as machine learning (ML), deep learning, data science, such as data engineering and predictive modeling, automation and decision analytics, and emerging areas, such as quantum computing. Its consulting service offering focuses on the talent and expertise needed to solve client problems and develop mission-oriented solutions for specific domains, business strategies, human capital, and operations through new approaches. Its engineering solutions deliver engineering services and solutions to define, develop, implement, sustain, and modernize complex physical systems.</v>
    <v>33100</v>
    <v>New York Stock Exchange</v>
    <v>XNYS</v>
    <v>XNYS</v>
    <v>8283 Greensboro Dr, MCLEAN, VA, 22102 US</v>
    <v>128.22</v>
    <v>3</v>
    <v>Software &amp; IT Services</v>
    <v>Stock</v>
    <v>45261.946478796097</v>
    <v>4</v>
    <v>124.55</v>
    <v>16709650000</v>
    <v>BOOZ ALLEN HAMILTON HOLDING CORPORATION</v>
    <v>BOOZ ALLEN HAMILTON HOLDING CORPORATION</v>
    <v>125.44</v>
    <v>56.293900000000001</v>
    <v>125.13</v>
    <v>128.16</v>
    <v>128.66999999999999</v>
    <v>130381200</v>
    <v>BAH</v>
    <v>BOOZ ALLEN HAMILTON HOLDING CORPORATION (XNYS:BAH)</v>
    <v>690267</v>
    <v>801949</v>
    <v>2008</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AH%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FIC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00" workbookViewId="0">
      <pane xSplit="1" topLeftCell="H1" activePane="topRight" state="frozen"/>
      <selection pane="topRight" activeCell="K188" sqref="K188:N188"/>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191</v>
      </c>
    </row>
    <row r="2" spans="1:19" ht="16" x14ac:dyDescent="0.2">
      <c r="A2" s="34" t="s">
        <v>18</v>
      </c>
      <c r="B2" s="32">
        <v>5591296000</v>
      </c>
      <c r="C2" s="32">
        <v>5859218000</v>
      </c>
      <c r="D2" s="32">
        <v>5758059000</v>
      </c>
      <c r="E2" s="32">
        <v>5478693000</v>
      </c>
      <c r="F2" s="32">
        <v>5274770000</v>
      </c>
      <c r="G2" s="32">
        <v>5405738000</v>
      </c>
      <c r="H2" s="32">
        <v>5804284000</v>
      </c>
      <c r="I2" s="32">
        <v>6171853000</v>
      </c>
      <c r="J2" s="32">
        <v>6704037000</v>
      </c>
      <c r="K2" s="32">
        <v>7463841000</v>
      </c>
      <c r="L2" s="32">
        <v>7858938000</v>
      </c>
      <c r="M2" s="32">
        <v>8363700000</v>
      </c>
      <c r="N2" s="32">
        <v>9258911000</v>
      </c>
      <c r="O2" s="33">
        <v>9663797000</v>
      </c>
      <c r="P2" s="32">
        <v>2298976000</v>
      </c>
      <c r="Q2" s="32">
        <v>2277074000</v>
      </c>
      <c r="R2" s="32">
        <v>2433261000</v>
      </c>
      <c r="S2" s="32">
        <v>2654486000</v>
      </c>
    </row>
    <row r="3" spans="1:19" ht="16" x14ac:dyDescent="0.2">
      <c r="A3" s="9" t="s">
        <v>192</v>
      </c>
      <c r="B3" s="10"/>
      <c r="C3" s="11">
        <f t="shared" ref="C3:O3" si="0">(C2/B2)-1</f>
        <v>4.7917692069960216E-2</v>
      </c>
      <c r="D3" s="11">
        <f t="shared" si="0"/>
        <v>-1.7264931941429751E-2</v>
      </c>
      <c r="E3" s="11">
        <f t="shared" si="0"/>
        <v>-4.8517391016660305E-2</v>
      </c>
      <c r="F3" s="11">
        <f t="shared" si="0"/>
        <v>-3.7221103646435383E-2</v>
      </c>
      <c r="G3" s="11">
        <f t="shared" si="0"/>
        <v>2.4829139469588313E-2</v>
      </c>
      <c r="H3" s="11">
        <f t="shared" si="0"/>
        <v>7.3726473610078669E-2</v>
      </c>
      <c r="I3" s="11">
        <f t="shared" si="0"/>
        <v>6.3327190743940109E-2</v>
      </c>
      <c r="J3" s="11">
        <f t="shared" si="0"/>
        <v>8.6227588375808795E-2</v>
      </c>
      <c r="K3" s="11">
        <f t="shared" si="0"/>
        <v>0.11333529334638226</v>
      </c>
      <c r="L3" s="11">
        <f t="shared" si="0"/>
        <v>5.2934809302609631E-2</v>
      </c>
      <c r="M3" s="11">
        <f t="shared" si="0"/>
        <v>6.4227762071669137E-2</v>
      </c>
      <c r="N3" s="11">
        <f t="shared" si="0"/>
        <v>0.10703528342719126</v>
      </c>
      <c r="O3" s="11">
        <f t="shared" si="0"/>
        <v>4.372933274766333E-2</v>
      </c>
      <c r="P3" s="11"/>
      <c r="Q3" s="11">
        <f t="shared" ref="Q3:S3" si="1">(Q2/P2)-1</f>
        <v>-9.5268502150522849E-3</v>
      </c>
      <c r="R3" s="11">
        <f t="shared" si="1"/>
        <v>6.8591095414553882E-2</v>
      </c>
      <c r="S3" s="11">
        <f t="shared" si="1"/>
        <v>9.0917086165438032E-2</v>
      </c>
    </row>
    <row r="4" spans="1:19" ht="16" x14ac:dyDescent="0.2">
      <c r="A4" s="2" t="s">
        <v>19</v>
      </c>
      <c r="B4" s="3">
        <v>5591296000</v>
      </c>
      <c r="C4" s="3">
        <v>5859218000</v>
      </c>
      <c r="D4" s="3">
        <v>5758059000</v>
      </c>
      <c r="E4" s="3">
        <v>5478693000</v>
      </c>
      <c r="F4" s="3">
        <v>5274770000</v>
      </c>
      <c r="G4" s="3">
        <v>5405738000</v>
      </c>
      <c r="H4" s="3">
        <v>5804284000</v>
      </c>
      <c r="I4" s="3">
        <v>6171853000</v>
      </c>
      <c r="J4" s="3">
        <v>6704037000</v>
      </c>
      <c r="K4" s="3">
        <v>7463841000</v>
      </c>
      <c r="L4" s="3">
        <v>7858938000</v>
      </c>
      <c r="M4" s="3">
        <v>8363700000</v>
      </c>
      <c r="N4" s="3">
        <v>9258911000</v>
      </c>
      <c r="O4" s="4">
        <v>9663797000</v>
      </c>
      <c r="P4" s="3">
        <v>2298976000</v>
      </c>
      <c r="Q4" s="3">
        <v>2277074000</v>
      </c>
      <c r="R4" s="3">
        <v>2433261000</v>
      </c>
      <c r="S4" s="3">
        <v>2654486000</v>
      </c>
    </row>
    <row r="5" spans="1:19" ht="16" x14ac:dyDescent="0.2">
      <c r="A5" s="2" t="s">
        <v>20</v>
      </c>
      <c r="B5" s="3">
        <v>2836955000</v>
      </c>
      <c r="C5" s="3">
        <v>2934378000</v>
      </c>
      <c r="D5" s="3">
        <v>2871240000</v>
      </c>
      <c r="E5" s="3">
        <v>2716113000</v>
      </c>
      <c r="F5" s="3">
        <v>2593849000</v>
      </c>
      <c r="G5" s="3">
        <v>2580026000</v>
      </c>
      <c r="H5" s="3">
        <v>2691982000</v>
      </c>
      <c r="I5" s="3">
        <v>2867103000</v>
      </c>
      <c r="J5" s="3">
        <v>3100466000</v>
      </c>
      <c r="K5" s="3">
        <v>3379180000</v>
      </c>
      <c r="L5" s="3">
        <v>3657530000</v>
      </c>
      <c r="M5" s="3">
        <v>3899622000</v>
      </c>
      <c r="N5" s="3">
        <v>4304810000</v>
      </c>
      <c r="O5" s="4">
        <v>4481753000</v>
      </c>
      <c r="P5" s="3">
        <v>1057450000</v>
      </c>
      <c r="Q5" s="3">
        <v>1043474000</v>
      </c>
      <c r="R5" s="3">
        <v>1128913000</v>
      </c>
      <c r="S5" s="3">
        <v>1251916000</v>
      </c>
    </row>
    <row r="6" spans="1:19" ht="16" x14ac:dyDescent="0.2">
      <c r="A6" s="2" t="s">
        <v>21</v>
      </c>
      <c r="B6" s="3">
        <v>2836955000</v>
      </c>
      <c r="C6" s="3">
        <v>2934378000</v>
      </c>
      <c r="D6" s="3">
        <v>2871240000</v>
      </c>
      <c r="E6" s="3">
        <v>2716113000</v>
      </c>
      <c r="F6" s="3">
        <v>2593849000</v>
      </c>
      <c r="G6" s="3">
        <v>2580026000</v>
      </c>
      <c r="H6" s="3">
        <v>2691982000</v>
      </c>
      <c r="I6" s="3">
        <v>2867103000</v>
      </c>
      <c r="J6" s="3">
        <v>3100466000</v>
      </c>
      <c r="K6" s="3">
        <v>3379180000</v>
      </c>
      <c r="L6" s="3">
        <v>3657530000</v>
      </c>
      <c r="M6" s="3">
        <v>3899622000</v>
      </c>
      <c r="N6" s="3">
        <v>4304810000</v>
      </c>
      <c r="O6" s="4">
        <v>4481753000</v>
      </c>
      <c r="P6" s="3">
        <v>1057450000</v>
      </c>
      <c r="Q6" s="3">
        <v>1043474000</v>
      </c>
      <c r="R6" s="3">
        <v>1128913000</v>
      </c>
      <c r="S6" s="3">
        <v>1251916000</v>
      </c>
    </row>
    <row r="7" spans="1:19" ht="16" x14ac:dyDescent="0.2">
      <c r="A7" s="34" t="s">
        <v>22</v>
      </c>
      <c r="B7" s="32">
        <v>2754341000</v>
      </c>
      <c r="C7" s="32">
        <v>2924840000</v>
      </c>
      <c r="D7" s="32">
        <v>2886819000</v>
      </c>
      <c r="E7" s="32">
        <v>2762580000</v>
      </c>
      <c r="F7" s="32">
        <v>2680921000</v>
      </c>
      <c r="G7" s="32">
        <v>2825712000</v>
      </c>
      <c r="H7" s="32">
        <v>3112302000</v>
      </c>
      <c r="I7" s="32">
        <v>3304750000</v>
      </c>
      <c r="J7" s="32">
        <v>3603571000</v>
      </c>
      <c r="K7" s="32">
        <v>4084661000</v>
      </c>
      <c r="L7" s="32">
        <v>4201408000</v>
      </c>
      <c r="M7" s="32">
        <v>4464078000</v>
      </c>
      <c r="N7" s="32">
        <v>4954101000</v>
      </c>
      <c r="O7" s="33">
        <v>5182044000</v>
      </c>
      <c r="P7" s="32">
        <v>1241526000</v>
      </c>
      <c r="Q7" s="32">
        <v>1233600000</v>
      </c>
      <c r="R7" s="32">
        <v>1304348000</v>
      </c>
      <c r="S7" s="32">
        <v>1402570000</v>
      </c>
    </row>
    <row r="8" spans="1:19" ht="16" x14ac:dyDescent="0.2">
      <c r="A8" s="29" t="s">
        <v>58</v>
      </c>
      <c r="B8" s="30">
        <v>49.26</v>
      </c>
      <c r="C8" s="30">
        <v>49.92</v>
      </c>
      <c r="D8" s="30">
        <v>50.14</v>
      </c>
      <c r="E8" s="30">
        <v>50.42</v>
      </c>
      <c r="F8" s="30">
        <v>50.83</v>
      </c>
      <c r="G8" s="30">
        <v>52.27</v>
      </c>
      <c r="H8" s="30">
        <v>53.62</v>
      </c>
      <c r="I8" s="30">
        <v>53.55</v>
      </c>
      <c r="J8" s="30">
        <v>53.75</v>
      </c>
      <c r="K8" s="30">
        <v>54.73</v>
      </c>
      <c r="L8" s="30">
        <v>53.46</v>
      </c>
      <c r="M8" s="30">
        <v>53.37</v>
      </c>
      <c r="N8" s="30">
        <v>53.51</v>
      </c>
      <c r="O8" s="31">
        <v>53.62</v>
      </c>
      <c r="P8" s="32">
        <v>54</v>
      </c>
      <c r="Q8" s="30">
        <v>54.17</v>
      </c>
      <c r="R8" s="30">
        <v>53.6</v>
      </c>
      <c r="S8" s="30">
        <v>52.84</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2434897000</v>
      </c>
      <c r="C10" s="3">
        <v>2521748000</v>
      </c>
      <c r="D10" s="3">
        <v>2440585000</v>
      </c>
      <c r="E10" s="3">
        <v>2301969000</v>
      </c>
      <c r="F10" s="3">
        <v>2222099000</v>
      </c>
      <c r="G10" s="3">
        <v>2381128000</v>
      </c>
      <c r="H10" s="3">
        <v>2628055000</v>
      </c>
      <c r="I10" s="3">
        <v>2784665000</v>
      </c>
      <c r="J10" s="3">
        <v>3001177000</v>
      </c>
      <c r="K10" s="3">
        <v>3415459000</v>
      </c>
      <c r="L10" s="3">
        <v>3447037000</v>
      </c>
      <c r="M10" s="3">
        <v>3778897000</v>
      </c>
      <c r="N10" s="3">
        <v>4507253000</v>
      </c>
      <c r="O10" s="4">
        <v>4707973000</v>
      </c>
      <c r="P10" s="3">
        <v>1017605000</v>
      </c>
      <c r="Q10" s="3">
        <v>1174960000</v>
      </c>
      <c r="R10" s="3">
        <v>1347256000</v>
      </c>
      <c r="S10" s="3">
        <v>1168152000</v>
      </c>
    </row>
    <row r="11" spans="1:19" ht="16" x14ac:dyDescent="0.2">
      <c r="A11" s="29" t="s">
        <v>26</v>
      </c>
      <c r="B11" s="32">
        <v>2354294000</v>
      </c>
      <c r="C11" s="32">
        <v>2446543000</v>
      </c>
      <c r="D11" s="32">
        <v>2366576000</v>
      </c>
      <c r="E11" s="32">
        <v>2229642000</v>
      </c>
      <c r="F11" s="32">
        <v>2159439000</v>
      </c>
      <c r="G11" s="32">
        <v>2319592000</v>
      </c>
      <c r="H11" s="32">
        <v>2568511000</v>
      </c>
      <c r="I11" s="32">
        <v>2719909000</v>
      </c>
      <c r="J11" s="32">
        <v>2932602000</v>
      </c>
      <c r="K11" s="32">
        <v>3334378000</v>
      </c>
      <c r="L11" s="32">
        <v>3362722000</v>
      </c>
      <c r="M11" s="32">
        <v>3633150000</v>
      </c>
      <c r="N11" s="32">
        <v>4341769000</v>
      </c>
      <c r="O11" s="33">
        <v>5087647000</v>
      </c>
      <c r="P11" s="32">
        <v>978553000</v>
      </c>
      <c r="Q11" s="32">
        <v>422388000</v>
      </c>
      <c r="R11" s="32">
        <v>3372705000</v>
      </c>
      <c r="S11" s="32">
        <v>314001000</v>
      </c>
    </row>
    <row r="12" spans="1:19" ht="16" x14ac:dyDescent="0.2">
      <c r="A12" s="12" t="s">
        <v>193</v>
      </c>
      <c r="B12" s="11">
        <f t="shared" ref="B12:S12" si="2">B11/B2</f>
        <v>0.42106409676754725</v>
      </c>
      <c r="C12" s="11">
        <f t="shared" si="2"/>
        <v>0.41755452690103012</v>
      </c>
      <c r="D12" s="11">
        <f t="shared" si="2"/>
        <v>0.41100238813113932</v>
      </c>
      <c r="E12" s="11">
        <f t="shared" si="2"/>
        <v>0.40696604098824302</v>
      </c>
      <c r="F12" s="11">
        <f t="shared" si="2"/>
        <v>0.40939017246249598</v>
      </c>
      <c r="G12" s="11">
        <f t="shared" si="2"/>
        <v>0.42909811759282451</v>
      </c>
      <c r="H12" s="11">
        <f t="shared" si="2"/>
        <v>0.44251986980650843</v>
      </c>
      <c r="I12" s="11">
        <f t="shared" si="2"/>
        <v>0.44069568734057663</v>
      </c>
      <c r="J12" s="11">
        <f t="shared" si="2"/>
        <v>0.43743821819599144</v>
      </c>
      <c r="K12" s="11">
        <f t="shared" si="2"/>
        <v>0.44673754438230934</v>
      </c>
      <c r="L12" s="11">
        <f t="shared" si="2"/>
        <v>0.42788503993796617</v>
      </c>
      <c r="M12" s="11">
        <f t="shared" si="2"/>
        <v>0.43439506438537967</v>
      </c>
      <c r="N12" s="11">
        <f t="shared" si="2"/>
        <v>0.46892868934586368</v>
      </c>
      <c r="O12" s="11">
        <f t="shared" si="2"/>
        <v>0.52646459771454224</v>
      </c>
      <c r="P12" s="11">
        <f t="shared" si="2"/>
        <v>0.42564733168158347</v>
      </c>
      <c r="Q12" s="11">
        <f t="shared" si="2"/>
        <v>0.18549594786994186</v>
      </c>
      <c r="R12" s="11">
        <f t="shared" si="2"/>
        <v>1.3860843534663976</v>
      </c>
      <c r="S12" s="11">
        <f t="shared" si="2"/>
        <v>0.11829069733274163</v>
      </c>
    </row>
    <row r="13" spans="1:19" ht="16" x14ac:dyDescent="0.2">
      <c r="A13" s="29" t="s">
        <v>27</v>
      </c>
      <c r="B13" s="32" t="s">
        <v>24</v>
      </c>
      <c r="C13" s="32" t="s">
        <v>24</v>
      </c>
      <c r="D13" s="32" t="s">
        <v>24</v>
      </c>
      <c r="E13" s="32" t="s">
        <v>24</v>
      </c>
      <c r="F13" s="32" t="s">
        <v>24</v>
      </c>
      <c r="G13" s="32" t="s">
        <v>24</v>
      </c>
      <c r="H13" s="32" t="s">
        <v>24</v>
      </c>
      <c r="I13" s="32" t="s">
        <v>24</v>
      </c>
      <c r="J13" s="32" t="s">
        <v>24</v>
      </c>
      <c r="K13" s="32" t="s">
        <v>24</v>
      </c>
      <c r="L13" s="32" t="s">
        <v>24</v>
      </c>
      <c r="M13" s="32" t="s">
        <v>24</v>
      </c>
      <c r="N13" s="32" t="s">
        <v>24</v>
      </c>
      <c r="O13" s="33" t="s">
        <v>24</v>
      </c>
      <c r="P13" s="32" t="s">
        <v>24</v>
      </c>
      <c r="Q13" s="32" t="s">
        <v>24</v>
      </c>
      <c r="R13" s="32" t="s">
        <v>24</v>
      </c>
      <c r="S13" s="32" t="s">
        <v>24</v>
      </c>
    </row>
    <row r="14" spans="1:19" ht="16" x14ac:dyDescent="0.2">
      <c r="A14" s="13" t="s">
        <v>194</v>
      </c>
      <c r="B14" s="14">
        <v>0</v>
      </c>
      <c r="C14" s="14">
        <v>0</v>
      </c>
      <c r="D14" s="14">
        <v>0</v>
      </c>
      <c r="E14" s="14">
        <v>0</v>
      </c>
      <c r="F14" s="14">
        <v>0</v>
      </c>
      <c r="G14" s="14">
        <v>0</v>
      </c>
      <c r="H14" s="14">
        <v>0</v>
      </c>
      <c r="I14" s="14">
        <v>0</v>
      </c>
      <c r="J14" s="14">
        <v>0</v>
      </c>
      <c r="K14" s="14" t="e">
        <f t="shared" ref="K14:S14" si="3">K13/K2</f>
        <v>#VALUE!</v>
      </c>
      <c r="L14" s="14" t="e">
        <f t="shared" si="3"/>
        <v>#VALUE!</v>
      </c>
      <c r="M14" s="14" t="e">
        <f t="shared" si="3"/>
        <v>#VALUE!</v>
      </c>
      <c r="N14" s="14" t="e">
        <f t="shared" si="3"/>
        <v>#VALUE!</v>
      </c>
      <c r="O14" s="14" t="e">
        <f t="shared" si="3"/>
        <v>#VALUE!</v>
      </c>
      <c r="P14" s="14" t="e">
        <f t="shared" si="3"/>
        <v>#VALUE!</v>
      </c>
      <c r="Q14" s="14" t="e">
        <f t="shared" si="3"/>
        <v>#VALUE!</v>
      </c>
      <c r="R14" s="14" t="e">
        <f t="shared" si="3"/>
        <v>#VALUE!</v>
      </c>
      <c r="S14" s="14" t="e">
        <f t="shared" si="3"/>
        <v>#VALUE!</v>
      </c>
    </row>
    <row r="15" spans="1:19" ht="16" x14ac:dyDescent="0.2">
      <c r="A15" s="2" t="s">
        <v>28</v>
      </c>
      <c r="B15" s="3">
        <v>80603000</v>
      </c>
      <c r="C15" s="3">
        <v>75205000</v>
      </c>
      <c r="D15" s="3">
        <v>74009000</v>
      </c>
      <c r="E15" s="3">
        <v>72327000</v>
      </c>
      <c r="F15" s="3">
        <v>62660000</v>
      </c>
      <c r="G15" s="3">
        <v>61536000</v>
      </c>
      <c r="H15" s="3">
        <v>59544000</v>
      </c>
      <c r="I15" s="3">
        <v>64756000</v>
      </c>
      <c r="J15" s="3">
        <v>68575000</v>
      </c>
      <c r="K15" s="3">
        <v>81081000</v>
      </c>
      <c r="L15" s="3">
        <v>84315000</v>
      </c>
      <c r="M15" s="3">
        <v>145747000</v>
      </c>
      <c r="N15" s="3">
        <v>165484000</v>
      </c>
      <c r="O15" s="4">
        <v>-379674000</v>
      </c>
      <c r="P15" s="3">
        <v>39052000</v>
      </c>
      <c r="Q15" s="3">
        <v>752572000</v>
      </c>
      <c r="R15" s="3">
        <v>-2025449000</v>
      </c>
      <c r="S15" s="3">
        <v>854151000</v>
      </c>
    </row>
    <row r="16" spans="1:19" ht="16" x14ac:dyDescent="0.2">
      <c r="A16" s="34" t="s">
        <v>29</v>
      </c>
      <c r="B16" s="32">
        <v>319444000</v>
      </c>
      <c r="C16" s="32">
        <v>403092000</v>
      </c>
      <c r="D16" s="32">
        <v>446234000</v>
      </c>
      <c r="E16" s="32">
        <v>460611000</v>
      </c>
      <c r="F16" s="32">
        <v>458822000</v>
      </c>
      <c r="G16" s="32">
        <v>444584000</v>
      </c>
      <c r="H16" s="32">
        <v>484247000</v>
      </c>
      <c r="I16" s="32">
        <v>520085000</v>
      </c>
      <c r="J16" s="32">
        <v>602394000</v>
      </c>
      <c r="K16" s="32">
        <v>669202000</v>
      </c>
      <c r="L16" s="32">
        <v>754371000</v>
      </c>
      <c r="M16" s="32">
        <v>685181000</v>
      </c>
      <c r="N16" s="32">
        <v>446848000</v>
      </c>
      <c r="O16" s="33">
        <v>474071000</v>
      </c>
      <c r="P16" s="32">
        <v>223921000</v>
      </c>
      <c r="Q16" s="32">
        <v>58640000</v>
      </c>
      <c r="R16" s="32">
        <v>-42908000</v>
      </c>
      <c r="S16" s="32">
        <v>234418000</v>
      </c>
    </row>
    <row r="17" spans="1:19" ht="16" x14ac:dyDescent="0.2">
      <c r="A17" s="29" t="s">
        <v>59</v>
      </c>
      <c r="B17" s="30">
        <v>5.71</v>
      </c>
      <c r="C17" s="30">
        <v>6.88</v>
      </c>
      <c r="D17" s="30">
        <v>7.75</v>
      </c>
      <c r="E17" s="30">
        <v>8.41</v>
      </c>
      <c r="F17" s="30">
        <v>8.6999999999999993</v>
      </c>
      <c r="G17" s="30">
        <v>8.2200000000000006</v>
      </c>
      <c r="H17" s="30">
        <v>8.34</v>
      </c>
      <c r="I17" s="30">
        <v>8.43</v>
      </c>
      <c r="J17" s="30">
        <v>8.99</v>
      </c>
      <c r="K17" s="30">
        <v>8.9700000000000006</v>
      </c>
      <c r="L17" s="30">
        <v>9.6</v>
      </c>
      <c r="M17" s="30">
        <v>8.19</v>
      </c>
      <c r="N17" s="30">
        <v>4.83</v>
      </c>
      <c r="O17" s="31">
        <v>4.91</v>
      </c>
      <c r="P17" s="30">
        <v>9.74</v>
      </c>
      <c r="Q17" s="30">
        <v>2.58</v>
      </c>
      <c r="R17" s="30">
        <v>-1.76</v>
      </c>
      <c r="S17" s="30">
        <v>8.83</v>
      </c>
    </row>
    <row r="18" spans="1:19" ht="16" x14ac:dyDescent="0.2">
      <c r="A18" s="15" t="s">
        <v>195</v>
      </c>
      <c r="B18" s="10"/>
      <c r="C18" s="11">
        <f>(C16/B16)-1</f>
        <v>0.26185497301561456</v>
      </c>
      <c r="D18" s="11">
        <f>(D16/C16)-1</f>
        <v>0.10702767606402519</v>
      </c>
      <c r="E18" s="11">
        <f>(E16/D16)-1</f>
        <v>3.2218522120680992E-2</v>
      </c>
      <c r="F18" s="11">
        <f t="shared" ref="F18:O18" si="4">(F16/E16)-1</f>
        <v>-3.8839715074108216E-3</v>
      </c>
      <c r="G18" s="11">
        <f t="shared" si="4"/>
        <v>-3.1031641900344797E-2</v>
      </c>
      <c r="H18" s="11">
        <f t="shared" si="4"/>
        <v>8.9213736886617712E-2</v>
      </c>
      <c r="I18" s="11">
        <f t="shared" si="4"/>
        <v>7.4007686160161956E-2</v>
      </c>
      <c r="J18" s="11">
        <f t="shared" si="4"/>
        <v>0.15826066892911728</v>
      </c>
      <c r="K18" s="11">
        <f t="shared" si="4"/>
        <v>0.11090415907196949</v>
      </c>
      <c r="L18" s="11">
        <f t="shared" si="4"/>
        <v>0.127269494113885</v>
      </c>
      <c r="M18" s="11">
        <f t="shared" si="4"/>
        <v>-9.1718796189143026E-2</v>
      </c>
      <c r="N18" s="11">
        <f t="shared" si="4"/>
        <v>-0.347839475992475</v>
      </c>
      <c r="O18" s="11">
        <f t="shared" si="4"/>
        <v>6.0922282297336094E-2</v>
      </c>
      <c r="P18" s="11"/>
      <c r="Q18" s="11">
        <f t="shared" ref="Q18:S18" si="5">(Q16/P16)-1</f>
        <v>-0.73812192692958678</v>
      </c>
      <c r="R18" s="11">
        <f t="shared" si="5"/>
        <v>-1.7317189631650751</v>
      </c>
      <c r="S18" s="11">
        <f t="shared" si="5"/>
        <v>-6.4632702526335413</v>
      </c>
    </row>
    <row r="19" spans="1:19" ht="16" x14ac:dyDescent="0.2">
      <c r="A19" s="2" t="s">
        <v>30</v>
      </c>
      <c r="B19" s="3">
        <v>191380000</v>
      </c>
      <c r="C19" s="3">
        <v>59218000</v>
      </c>
      <c r="D19" s="3">
        <v>77923000</v>
      </c>
      <c r="E19" s="3">
        <v>79824000</v>
      </c>
      <c r="F19" s="3">
        <v>72904000</v>
      </c>
      <c r="G19" s="3">
        <v>65122000</v>
      </c>
      <c r="H19" s="3">
        <v>72347000</v>
      </c>
      <c r="I19" s="3">
        <v>82081000</v>
      </c>
      <c r="J19" s="3">
        <v>86991000</v>
      </c>
      <c r="K19" s="3">
        <v>89768000</v>
      </c>
      <c r="L19" s="3">
        <v>91932000</v>
      </c>
      <c r="M19" s="3">
        <v>81138000</v>
      </c>
      <c r="N19" s="3">
        <v>78899000</v>
      </c>
      <c r="O19" s="4">
        <v>84836000</v>
      </c>
      <c r="P19" s="3">
        <v>1882000</v>
      </c>
      <c r="Q19" s="3">
        <v>17412000</v>
      </c>
      <c r="R19" s="3">
        <v>31992000</v>
      </c>
      <c r="S19" s="3">
        <v>33550000</v>
      </c>
    </row>
    <row r="20" spans="1:19" ht="16" x14ac:dyDescent="0.2">
      <c r="A20" s="2" t="s">
        <v>31</v>
      </c>
      <c r="B20" s="3">
        <v>131892000</v>
      </c>
      <c r="C20" s="3">
        <v>48078000</v>
      </c>
      <c r="D20" s="3">
        <v>70284000</v>
      </c>
      <c r="E20" s="3">
        <v>78030000</v>
      </c>
      <c r="F20" s="3">
        <v>71832000</v>
      </c>
      <c r="G20" s="3">
        <v>70815000</v>
      </c>
      <c r="H20" s="3">
        <v>62298000</v>
      </c>
      <c r="I20" s="3">
        <v>82269000</v>
      </c>
      <c r="J20" s="3">
        <v>84465000</v>
      </c>
      <c r="K20" s="3">
        <v>90178000</v>
      </c>
      <c r="L20" s="3">
        <v>56316000</v>
      </c>
      <c r="M20" s="3">
        <v>70198000</v>
      </c>
      <c r="N20" s="3">
        <v>116737000</v>
      </c>
      <c r="O20" s="4">
        <v>134080000</v>
      </c>
      <c r="P20" s="3">
        <v>26819000</v>
      </c>
      <c r="Q20" s="3">
        <v>32637000</v>
      </c>
      <c r="R20" s="3">
        <v>36609000</v>
      </c>
      <c r="S20" s="3">
        <v>38015000</v>
      </c>
    </row>
    <row r="21" spans="1:19" ht="16" x14ac:dyDescent="0.2">
      <c r="A21" s="2" t="s">
        <v>32</v>
      </c>
      <c r="B21" s="3">
        <v>131892000</v>
      </c>
      <c r="C21" s="3">
        <v>48078000</v>
      </c>
      <c r="D21" s="3">
        <v>70284000</v>
      </c>
      <c r="E21" s="3">
        <v>78030000</v>
      </c>
      <c r="F21" s="3">
        <v>71832000</v>
      </c>
      <c r="G21" s="3">
        <v>70815000</v>
      </c>
      <c r="H21" s="3">
        <v>62298000</v>
      </c>
      <c r="I21" s="3">
        <v>82269000</v>
      </c>
      <c r="J21" s="3">
        <v>84465000</v>
      </c>
      <c r="K21" s="3">
        <v>90178000</v>
      </c>
      <c r="L21" s="3">
        <v>56316000</v>
      </c>
      <c r="M21" s="3">
        <v>70198000</v>
      </c>
      <c r="N21" s="3">
        <v>116737000</v>
      </c>
      <c r="O21" s="4">
        <v>134080000</v>
      </c>
      <c r="P21" s="3">
        <v>26819000</v>
      </c>
      <c r="Q21" s="3">
        <v>32637000</v>
      </c>
      <c r="R21" s="3">
        <v>36609000</v>
      </c>
      <c r="S21" s="3">
        <v>38015000</v>
      </c>
    </row>
    <row r="22" spans="1:19" ht="16" x14ac:dyDescent="0.2">
      <c r="A22" s="2" t="s">
        <v>33</v>
      </c>
      <c r="B22" s="3" t="s">
        <v>24</v>
      </c>
      <c r="C22" s="3" t="s">
        <v>24</v>
      </c>
      <c r="D22" s="3" t="s">
        <v>24</v>
      </c>
      <c r="E22" s="3" t="s">
        <v>24</v>
      </c>
      <c r="F22" s="3" t="s">
        <v>24</v>
      </c>
      <c r="G22" s="3" t="s">
        <v>24</v>
      </c>
      <c r="H22" s="3" t="s">
        <v>24</v>
      </c>
      <c r="I22" s="3" t="s">
        <v>24</v>
      </c>
      <c r="J22" s="3" t="s">
        <v>24</v>
      </c>
      <c r="K22" s="3" t="s">
        <v>24</v>
      </c>
      <c r="L22" s="3" t="s">
        <v>24</v>
      </c>
      <c r="M22" s="3" t="s">
        <v>24</v>
      </c>
      <c r="N22" s="3" t="s">
        <v>24</v>
      </c>
      <c r="O22" s="4" t="s">
        <v>24</v>
      </c>
      <c r="P22" s="3" t="s">
        <v>24</v>
      </c>
      <c r="Q22" s="3" t="s">
        <v>24</v>
      </c>
      <c r="R22" s="3" t="s">
        <v>24</v>
      </c>
      <c r="S22" s="3" t="s">
        <v>24</v>
      </c>
    </row>
    <row r="23" spans="1:19" ht="16" x14ac:dyDescent="0.2">
      <c r="A23" s="2" t="s">
        <v>34</v>
      </c>
      <c r="B23" s="3">
        <v>59488000</v>
      </c>
      <c r="C23" s="3">
        <v>11140000</v>
      </c>
      <c r="D23" s="3">
        <v>7639000</v>
      </c>
      <c r="E23" s="3">
        <v>1794000</v>
      </c>
      <c r="F23" s="3">
        <v>1072000</v>
      </c>
      <c r="G23" s="3">
        <v>-5693000</v>
      </c>
      <c r="H23" s="3">
        <v>10049000</v>
      </c>
      <c r="I23" s="3">
        <v>-188000</v>
      </c>
      <c r="J23" s="3">
        <v>2526000</v>
      </c>
      <c r="K23" s="3">
        <v>-410000</v>
      </c>
      <c r="L23" s="3">
        <v>35616000</v>
      </c>
      <c r="M23" s="3">
        <v>10940000</v>
      </c>
      <c r="N23" s="3">
        <v>-37838000</v>
      </c>
      <c r="O23" s="4">
        <v>-49244000</v>
      </c>
      <c r="P23" s="3">
        <v>-24937000</v>
      </c>
      <c r="Q23" s="3">
        <v>-15225000</v>
      </c>
      <c r="R23" s="3">
        <v>-4617000</v>
      </c>
      <c r="S23" s="3">
        <v>-4465000</v>
      </c>
    </row>
    <row r="24" spans="1:19" ht="16" x14ac:dyDescent="0.2">
      <c r="A24" s="2" t="s">
        <v>35</v>
      </c>
      <c r="B24" s="3">
        <v>128064000</v>
      </c>
      <c r="C24" s="3">
        <v>343874000</v>
      </c>
      <c r="D24" s="3">
        <v>368311000</v>
      </c>
      <c r="E24" s="3">
        <v>380787000</v>
      </c>
      <c r="F24" s="3">
        <v>385918000</v>
      </c>
      <c r="G24" s="3">
        <v>379462000</v>
      </c>
      <c r="H24" s="3">
        <v>411900000</v>
      </c>
      <c r="I24" s="3">
        <v>438004000</v>
      </c>
      <c r="J24" s="3">
        <v>515403000</v>
      </c>
      <c r="K24" s="3">
        <v>579434000</v>
      </c>
      <c r="L24" s="3">
        <v>662439000</v>
      </c>
      <c r="M24" s="3">
        <v>604043000</v>
      </c>
      <c r="N24" s="3">
        <v>367949000</v>
      </c>
      <c r="O24" s="4">
        <v>389235000</v>
      </c>
      <c r="P24" s="3">
        <v>222039000</v>
      </c>
      <c r="Q24" s="3">
        <v>41228000</v>
      </c>
      <c r="R24" s="3">
        <v>-74900000</v>
      </c>
      <c r="S24" s="3">
        <v>200868000</v>
      </c>
    </row>
    <row r="25" spans="1:19" ht="16" x14ac:dyDescent="0.2">
      <c r="A25" s="2" t="s">
        <v>36</v>
      </c>
      <c r="B25" s="3">
        <v>43370000</v>
      </c>
      <c r="C25" s="3">
        <v>103919000</v>
      </c>
      <c r="D25" s="3">
        <v>149253000</v>
      </c>
      <c r="E25" s="3">
        <v>148599000</v>
      </c>
      <c r="F25" s="3">
        <v>153349000</v>
      </c>
      <c r="G25" s="3">
        <v>85368000</v>
      </c>
      <c r="H25" s="3">
        <v>159410000</v>
      </c>
      <c r="I25" s="3">
        <v>132893000</v>
      </c>
      <c r="J25" s="3">
        <v>96874000</v>
      </c>
      <c r="K25" s="3">
        <v>96831000</v>
      </c>
      <c r="L25" s="3">
        <v>53481000</v>
      </c>
      <c r="M25" s="3">
        <v>137466000</v>
      </c>
      <c r="N25" s="3">
        <v>96734000</v>
      </c>
      <c r="O25" s="4">
        <v>94725000</v>
      </c>
      <c r="P25" s="3">
        <v>51258000</v>
      </c>
      <c r="Q25" s="3">
        <v>10539000</v>
      </c>
      <c r="R25" s="3">
        <v>-6552000</v>
      </c>
      <c r="S25" s="3">
        <v>39480000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84694000</v>
      </c>
      <c r="C27" s="3">
        <v>239955000</v>
      </c>
      <c r="D27" s="3">
        <v>219058000</v>
      </c>
      <c r="E27" s="3">
        <v>232188000</v>
      </c>
      <c r="F27" s="3">
        <v>232569000</v>
      </c>
      <c r="G27" s="3">
        <v>294094000</v>
      </c>
      <c r="H27" s="3">
        <v>252490000</v>
      </c>
      <c r="I27" s="3">
        <v>305111000</v>
      </c>
      <c r="J27" s="3">
        <v>418529000</v>
      </c>
      <c r="K27" s="3">
        <v>482603000</v>
      </c>
      <c r="L27" s="3">
        <v>608958000</v>
      </c>
      <c r="M27" s="3">
        <v>466577000</v>
      </c>
      <c r="N27" s="3">
        <v>271215000</v>
      </c>
      <c r="O27" s="4">
        <v>294510000</v>
      </c>
      <c r="P27" s="3">
        <v>170781000</v>
      </c>
      <c r="Q27" s="3">
        <v>30689000</v>
      </c>
      <c r="R27" s="3">
        <v>-68348000</v>
      </c>
      <c r="S27" s="3">
        <v>161388000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v>326000</v>
      </c>
      <c r="N28" s="3">
        <v>-1152000</v>
      </c>
      <c r="O28" s="4">
        <v>-166000</v>
      </c>
      <c r="P28" s="3">
        <v>302000</v>
      </c>
      <c r="Q28" s="3">
        <v>-616000</v>
      </c>
      <c r="R28" s="3">
        <v>148000</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v>326000</v>
      </c>
      <c r="N30" s="3">
        <v>-1152000</v>
      </c>
      <c r="O30" s="4">
        <v>-166000</v>
      </c>
      <c r="P30" s="3">
        <v>302000</v>
      </c>
      <c r="Q30" s="3">
        <v>-616000</v>
      </c>
      <c r="R30" s="3">
        <v>148000</v>
      </c>
      <c r="S30" s="3" t="s">
        <v>24</v>
      </c>
    </row>
    <row r="31" spans="1:19" ht="16" x14ac:dyDescent="0.2">
      <c r="A31" s="2" t="s">
        <v>42</v>
      </c>
      <c r="B31" s="3">
        <v>84694000</v>
      </c>
      <c r="C31" s="3">
        <v>239955000</v>
      </c>
      <c r="D31" s="3">
        <v>219058000</v>
      </c>
      <c r="E31" s="3">
        <v>232188000</v>
      </c>
      <c r="F31" s="3">
        <v>232569000</v>
      </c>
      <c r="G31" s="3">
        <v>294094000</v>
      </c>
      <c r="H31" s="3">
        <v>252490000</v>
      </c>
      <c r="I31" s="3">
        <v>305111000</v>
      </c>
      <c r="J31" s="3">
        <v>418529000</v>
      </c>
      <c r="K31" s="3">
        <v>482603000</v>
      </c>
      <c r="L31" s="3">
        <v>608958000</v>
      </c>
      <c r="M31" s="3">
        <v>466251000</v>
      </c>
      <c r="N31" s="3">
        <v>272367000</v>
      </c>
      <c r="O31" s="4">
        <v>294676000</v>
      </c>
      <c r="P31" s="3">
        <v>170479000</v>
      </c>
      <c r="Q31" s="3">
        <v>31305000</v>
      </c>
      <c r="R31" s="3">
        <v>-68496000</v>
      </c>
      <c r="S31" s="3">
        <v>161388000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v>-163000</v>
      </c>
      <c r="N32" s="3">
        <v>576000</v>
      </c>
      <c r="O32" s="4">
        <v>83000</v>
      </c>
      <c r="P32" s="3">
        <v>-151000</v>
      </c>
      <c r="Q32" s="3">
        <v>308000</v>
      </c>
      <c r="R32" s="3">
        <v>-74000</v>
      </c>
      <c r="S32" s="3" t="s">
        <v>24</v>
      </c>
    </row>
    <row r="33" spans="1:19" ht="16" x14ac:dyDescent="0.2">
      <c r="A33" s="34" t="s">
        <v>44</v>
      </c>
      <c r="B33" s="32">
        <v>84694000</v>
      </c>
      <c r="C33" s="32">
        <v>239955000</v>
      </c>
      <c r="D33" s="32">
        <v>219058000</v>
      </c>
      <c r="E33" s="32">
        <v>232188000</v>
      </c>
      <c r="F33" s="32">
        <v>232569000</v>
      </c>
      <c r="G33" s="32">
        <v>294094000</v>
      </c>
      <c r="H33" s="32">
        <v>252490000</v>
      </c>
      <c r="I33" s="32">
        <v>305111000</v>
      </c>
      <c r="J33" s="32">
        <v>418529000</v>
      </c>
      <c r="K33" s="32">
        <v>482603000</v>
      </c>
      <c r="L33" s="32">
        <v>608958000</v>
      </c>
      <c r="M33" s="32">
        <v>466414000</v>
      </c>
      <c r="N33" s="32">
        <v>271791000</v>
      </c>
      <c r="O33" s="33">
        <v>294593000</v>
      </c>
      <c r="P33" s="32">
        <v>170630000</v>
      </c>
      <c r="Q33" s="32">
        <v>30997000</v>
      </c>
      <c r="R33" s="32">
        <v>-68422000</v>
      </c>
      <c r="S33" s="32">
        <v>161388000</v>
      </c>
    </row>
    <row r="34" spans="1:19" ht="16" x14ac:dyDescent="0.2">
      <c r="A34" s="29" t="s">
        <v>60</v>
      </c>
      <c r="B34" s="30">
        <v>1.51</v>
      </c>
      <c r="C34" s="30">
        <v>4.0999999999999996</v>
      </c>
      <c r="D34" s="30">
        <v>3.8</v>
      </c>
      <c r="E34" s="30">
        <v>4.24</v>
      </c>
      <c r="F34" s="30">
        <v>4.41</v>
      </c>
      <c r="G34" s="30">
        <v>5.44</v>
      </c>
      <c r="H34" s="30">
        <v>4.3499999999999996</v>
      </c>
      <c r="I34" s="30">
        <v>4.9400000000000004</v>
      </c>
      <c r="J34" s="30">
        <v>6.24</v>
      </c>
      <c r="K34" s="30">
        <v>6.47</v>
      </c>
      <c r="L34" s="30">
        <v>7.75</v>
      </c>
      <c r="M34" s="30">
        <v>5.58</v>
      </c>
      <c r="N34" s="30">
        <v>2.94</v>
      </c>
      <c r="O34" s="31">
        <v>3.05</v>
      </c>
      <c r="P34" s="30">
        <v>7.42</v>
      </c>
      <c r="Q34" s="30">
        <v>1.36</v>
      </c>
      <c r="R34" s="30">
        <v>-2.81</v>
      </c>
      <c r="S34" s="30">
        <v>6.08</v>
      </c>
    </row>
    <row r="35" spans="1:19" ht="16" x14ac:dyDescent="0.2">
      <c r="A35" s="16" t="s">
        <v>196</v>
      </c>
      <c r="B35" s="17"/>
      <c r="C35" s="14">
        <f>(C33/B33)-1</f>
        <v>1.8331995182657566</v>
      </c>
      <c r="D35" s="14">
        <f>(D33/C33)-1</f>
        <v>-8.7087162176241351E-2</v>
      </c>
      <c r="E35" s="14">
        <f>(E33/D33)-1</f>
        <v>5.9938463785846663E-2</v>
      </c>
      <c r="F35" s="14">
        <f t="shared" ref="F35:O35" si="6">(F33/E33)-1</f>
        <v>1.6409116750220054E-3</v>
      </c>
      <c r="G35" s="14">
        <f t="shared" si="6"/>
        <v>0.26454514574169385</v>
      </c>
      <c r="H35" s="14">
        <f t="shared" si="6"/>
        <v>-0.14146497378389222</v>
      </c>
      <c r="I35" s="14">
        <f t="shared" si="6"/>
        <v>0.20840825379222938</v>
      </c>
      <c r="J35" s="14">
        <f t="shared" si="6"/>
        <v>0.37172701082556836</v>
      </c>
      <c r="K35" s="14">
        <f t="shared" si="6"/>
        <v>0.15309333403420067</v>
      </c>
      <c r="L35" s="14">
        <f t="shared" si="6"/>
        <v>0.26181975661154189</v>
      </c>
      <c r="M35" s="14">
        <f t="shared" si="6"/>
        <v>-0.23407854072037804</v>
      </c>
      <c r="N35" s="14">
        <f t="shared" si="6"/>
        <v>-0.41727521043536431</v>
      </c>
      <c r="O35" s="14">
        <f t="shared" si="6"/>
        <v>8.3895346056344744E-2</v>
      </c>
      <c r="P35" s="14"/>
      <c r="Q35" s="14">
        <f t="shared" ref="Q35:S35" si="7">(Q33/P33)-1</f>
        <v>-0.81833792416339446</v>
      </c>
      <c r="R35" s="14">
        <f t="shared" si="7"/>
        <v>-3.2073749072490885</v>
      </c>
      <c r="S35" s="14">
        <f t="shared" si="7"/>
        <v>-3.3587150331764639</v>
      </c>
    </row>
    <row r="36" spans="1:19" ht="16" x14ac:dyDescent="0.2">
      <c r="A36" s="18" t="s">
        <v>197</v>
      </c>
      <c r="B36" s="19">
        <f t="shared" ref="B36:S36" si="8">(B16*(1-0.25))/(B126+B105+B96)</f>
        <v>0.12599167638666414</v>
      </c>
      <c r="C36" s="19">
        <f t="shared" si="8"/>
        <v>0.1405736046982019</v>
      </c>
      <c r="D36" s="19">
        <f t="shared" si="8"/>
        <v>0.17233849614256891</v>
      </c>
      <c r="E36" s="19">
        <f t="shared" si="8"/>
        <v>0.18871776592344944</v>
      </c>
      <c r="F36" s="19">
        <f t="shared" si="8"/>
        <v>0.18982250433437609</v>
      </c>
      <c r="G36" s="19">
        <f t="shared" si="8"/>
        <v>0.16624113984351979</v>
      </c>
      <c r="H36" s="19">
        <f t="shared" si="8"/>
        <v>0.16235987956627768</v>
      </c>
      <c r="I36" s="19">
        <f t="shared" si="8"/>
        <v>0.16436145266721361</v>
      </c>
      <c r="J36" s="19">
        <f t="shared" si="8"/>
        <v>0.18553262314450128</v>
      </c>
      <c r="K36" s="19">
        <f t="shared" si="8"/>
        <v>0.14930936814570456</v>
      </c>
      <c r="L36" s="19">
        <f t="shared" si="8"/>
        <v>0.15104046534425095</v>
      </c>
      <c r="M36" s="19">
        <f t="shared" si="8"/>
        <v>0.12394146973720738</v>
      </c>
      <c r="N36" s="19">
        <f t="shared" si="8"/>
        <v>8.2677587849994419E-2</v>
      </c>
      <c r="O36" s="19">
        <f t="shared" si="8"/>
        <v>8.595700665891759E-2</v>
      </c>
      <c r="P36" s="19">
        <f t="shared" si="8"/>
        <v>3.8903018086093102E-2</v>
      </c>
      <c r="Q36" s="19">
        <f t="shared" si="8"/>
        <v>1.0270551260979892E-2</v>
      </c>
      <c r="R36" s="19">
        <f t="shared" si="8"/>
        <v>-7.9390082074163038E-3</v>
      </c>
      <c r="S36" s="19">
        <f t="shared" si="8"/>
        <v>4.250390677128562E-2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84694000</v>
      </c>
      <c r="C39" s="3">
        <v>239955000</v>
      </c>
      <c r="D39" s="3">
        <v>219058000</v>
      </c>
      <c r="E39" s="3">
        <v>232188000</v>
      </c>
      <c r="F39" s="3">
        <v>232569000</v>
      </c>
      <c r="G39" s="3">
        <v>294094000</v>
      </c>
      <c r="H39" s="3">
        <v>252490000</v>
      </c>
      <c r="I39" s="3">
        <v>305111000</v>
      </c>
      <c r="J39" s="3">
        <v>418529000</v>
      </c>
      <c r="K39" s="3">
        <v>482603000</v>
      </c>
      <c r="L39" s="3">
        <v>608958000</v>
      </c>
      <c r="M39" s="3">
        <v>466414000</v>
      </c>
      <c r="N39" s="3">
        <v>271791000</v>
      </c>
      <c r="O39" s="4">
        <v>294593000</v>
      </c>
      <c r="P39" s="3">
        <v>170630000</v>
      </c>
      <c r="Q39" s="3">
        <v>30997000</v>
      </c>
      <c r="R39" s="3">
        <v>-68422000</v>
      </c>
      <c r="S39" s="3">
        <v>161388000</v>
      </c>
    </row>
    <row r="40" spans="1:19" ht="16" x14ac:dyDescent="0.2">
      <c r="A40" s="2" t="s">
        <v>48</v>
      </c>
      <c r="B40" s="3">
        <v>114479000</v>
      </c>
      <c r="C40" s="3">
        <v>130146000</v>
      </c>
      <c r="D40" s="3">
        <v>134403000</v>
      </c>
      <c r="E40" s="3">
        <v>141315000</v>
      </c>
      <c r="F40" s="3">
        <v>145414000</v>
      </c>
      <c r="G40" s="3">
        <v>146494000</v>
      </c>
      <c r="H40" s="3">
        <v>148219000</v>
      </c>
      <c r="I40" s="3">
        <v>145965000</v>
      </c>
      <c r="J40" s="3">
        <v>141911000</v>
      </c>
      <c r="K40" s="3">
        <v>140059000</v>
      </c>
      <c r="L40" s="3">
        <v>137723000</v>
      </c>
      <c r="M40" s="3">
        <v>134134000</v>
      </c>
      <c r="N40" s="3">
        <v>132162000</v>
      </c>
      <c r="O40" s="4">
        <v>131827750</v>
      </c>
      <c r="P40" s="3">
        <v>132266000</v>
      </c>
      <c r="Q40" s="3">
        <v>132225000</v>
      </c>
      <c r="R40" s="3">
        <v>131788000</v>
      </c>
      <c r="S40" s="3">
        <v>131032000</v>
      </c>
    </row>
    <row r="41" spans="1:19" ht="16" x14ac:dyDescent="0.2">
      <c r="A41" s="2" t="s">
        <v>49</v>
      </c>
      <c r="B41" s="5">
        <v>0.74</v>
      </c>
      <c r="C41" s="5">
        <v>1.84</v>
      </c>
      <c r="D41" s="5">
        <v>1.63</v>
      </c>
      <c r="E41" s="5">
        <v>1.64</v>
      </c>
      <c r="F41" s="5">
        <v>1.6</v>
      </c>
      <c r="G41" s="5">
        <v>2.0099999999999998</v>
      </c>
      <c r="H41" s="5">
        <v>1.7</v>
      </c>
      <c r="I41" s="5">
        <v>2.09</v>
      </c>
      <c r="J41" s="5">
        <v>2.95</v>
      </c>
      <c r="K41" s="5">
        <v>3.45</v>
      </c>
      <c r="L41" s="5">
        <v>4.42</v>
      </c>
      <c r="M41" s="5">
        <v>3.48</v>
      </c>
      <c r="N41" s="5">
        <v>2.06</v>
      </c>
      <c r="O41" s="6">
        <v>2.23</v>
      </c>
      <c r="P41" s="5">
        <v>1.29</v>
      </c>
      <c r="Q41" s="5">
        <v>0.23</v>
      </c>
      <c r="R41" s="5">
        <v>-0.52</v>
      </c>
      <c r="S41" s="5">
        <v>1.23</v>
      </c>
    </row>
    <row r="42" spans="1:19" ht="16" x14ac:dyDescent="0.2">
      <c r="A42" s="2" t="s">
        <v>50</v>
      </c>
      <c r="B42" s="5">
        <v>0.74</v>
      </c>
      <c r="C42" s="5">
        <v>1.84</v>
      </c>
      <c r="D42" s="5">
        <v>1.63</v>
      </c>
      <c r="E42" s="5">
        <v>1.64</v>
      </c>
      <c r="F42" s="5">
        <v>1.6</v>
      </c>
      <c r="G42" s="5">
        <v>2.0099999999999998</v>
      </c>
      <c r="H42" s="5">
        <v>1.7</v>
      </c>
      <c r="I42" s="5">
        <v>2.09</v>
      </c>
      <c r="J42" s="5">
        <v>2.95</v>
      </c>
      <c r="K42" s="5">
        <v>3.45</v>
      </c>
      <c r="L42" s="5">
        <v>4.42</v>
      </c>
      <c r="M42" s="5">
        <v>3.48</v>
      </c>
      <c r="N42" s="5">
        <v>2.0499999999999998</v>
      </c>
      <c r="O42" s="6">
        <v>2.23</v>
      </c>
      <c r="P42" s="5">
        <v>1.29</v>
      </c>
      <c r="Q42" s="5">
        <v>0.23</v>
      </c>
      <c r="R42" s="5">
        <v>-0.52</v>
      </c>
      <c r="S42" s="5">
        <v>1.23</v>
      </c>
    </row>
    <row r="43" spans="1:19" ht="16" x14ac:dyDescent="0.2">
      <c r="A43" s="2" t="s">
        <v>51</v>
      </c>
      <c r="B43" s="3">
        <v>127449000</v>
      </c>
      <c r="C43" s="3">
        <v>140812000</v>
      </c>
      <c r="D43" s="3">
        <v>144855000</v>
      </c>
      <c r="E43" s="3">
        <v>148681000</v>
      </c>
      <c r="F43" s="3">
        <v>150376000</v>
      </c>
      <c r="G43" s="3">
        <v>149719000</v>
      </c>
      <c r="H43" s="3">
        <v>150275000</v>
      </c>
      <c r="I43" s="3">
        <v>147750000</v>
      </c>
      <c r="J43" s="3">
        <v>143156000</v>
      </c>
      <c r="K43" s="3">
        <v>141238000</v>
      </c>
      <c r="L43" s="3">
        <v>138703000</v>
      </c>
      <c r="M43" s="3">
        <v>134851000</v>
      </c>
      <c r="N43" s="3">
        <v>132716000</v>
      </c>
      <c r="O43" s="4">
        <v>132347750</v>
      </c>
      <c r="P43" s="3">
        <v>132729000</v>
      </c>
      <c r="Q43" s="3">
        <v>132760000</v>
      </c>
      <c r="R43" s="3">
        <v>132371000</v>
      </c>
      <c r="S43" s="3">
        <v>131531000</v>
      </c>
    </row>
    <row r="44" spans="1:19" ht="16" x14ac:dyDescent="0.2">
      <c r="A44" s="2" t="s">
        <v>52</v>
      </c>
      <c r="B44" s="5">
        <v>0.66</v>
      </c>
      <c r="C44" s="5">
        <v>1.7</v>
      </c>
      <c r="D44" s="5">
        <v>1.51</v>
      </c>
      <c r="E44" s="5">
        <v>1.56</v>
      </c>
      <c r="F44" s="5">
        <v>1.55</v>
      </c>
      <c r="G44" s="5">
        <v>1.96</v>
      </c>
      <c r="H44" s="5">
        <v>1.68</v>
      </c>
      <c r="I44" s="5">
        <v>2.0699999999999998</v>
      </c>
      <c r="J44" s="5">
        <v>2.92</v>
      </c>
      <c r="K44" s="5">
        <v>3.42</v>
      </c>
      <c r="L44" s="5">
        <v>4.3899999999999997</v>
      </c>
      <c r="M44" s="5">
        <v>3.46</v>
      </c>
      <c r="N44" s="5">
        <v>2.0499999999999998</v>
      </c>
      <c r="O44" s="6">
        <v>2.23</v>
      </c>
      <c r="P44" s="5">
        <v>1.29</v>
      </c>
      <c r="Q44" s="5">
        <v>0.23</v>
      </c>
      <c r="R44" s="5">
        <v>-0.52</v>
      </c>
      <c r="S44" s="5">
        <v>1.23</v>
      </c>
    </row>
    <row r="45" spans="1:19" ht="16" x14ac:dyDescent="0.2">
      <c r="A45" s="2" t="s">
        <v>53</v>
      </c>
      <c r="B45" s="5">
        <v>0.66</v>
      </c>
      <c r="C45" s="5">
        <v>1.7</v>
      </c>
      <c r="D45" s="5">
        <v>1.51</v>
      </c>
      <c r="E45" s="5">
        <v>1.56</v>
      </c>
      <c r="F45" s="5">
        <v>1.55</v>
      </c>
      <c r="G45" s="5">
        <v>1.96</v>
      </c>
      <c r="H45" s="5">
        <v>1.68</v>
      </c>
      <c r="I45" s="5">
        <v>2.0699999999999998</v>
      </c>
      <c r="J45" s="5">
        <v>2.92</v>
      </c>
      <c r="K45" s="5">
        <v>3.42</v>
      </c>
      <c r="L45" s="5">
        <v>4.3899999999999997</v>
      </c>
      <c r="M45" s="5">
        <v>3.46</v>
      </c>
      <c r="N45" s="5">
        <v>2.04</v>
      </c>
      <c r="O45" s="6">
        <v>2.23</v>
      </c>
      <c r="P45" s="5">
        <v>1.29</v>
      </c>
      <c r="Q45" s="5">
        <v>0.23</v>
      </c>
      <c r="R45" s="5">
        <v>-0.52</v>
      </c>
      <c r="S45" s="5">
        <v>1.23</v>
      </c>
    </row>
    <row r="46" spans="1:19" ht="16" x14ac:dyDescent="0.2">
      <c r="A46" s="2" t="s">
        <v>54</v>
      </c>
      <c r="B46" s="3">
        <v>400047000</v>
      </c>
      <c r="C46" s="3">
        <v>478297000</v>
      </c>
      <c r="D46" s="3">
        <v>520243000</v>
      </c>
      <c r="E46" s="3">
        <v>532938000</v>
      </c>
      <c r="F46" s="3">
        <v>521482000</v>
      </c>
      <c r="G46" s="3">
        <v>506120000</v>
      </c>
      <c r="H46" s="3">
        <v>543791000</v>
      </c>
      <c r="I46" s="3">
        <v>584841000</v>
      </c>
      <c r="J46" s="3">
        <v>670969000</v>
      </c>
      <c r="K46" s="3">
        <v>750283000</v>
      </c>
      <c r="L46" s="3">
        <v>838686000</v>
      </c>
      <c r="M46" s="3">
        <v>830928000</v>
      </c>
      <c r="N46" s="3">
        <v>612332000</v>
      </c>
      <c r="O46" s="4">
        <v>641300000</v>
      </c>
      <c r="P46" s="3">
        <v>262973000</v>
      </c>
      <c r="Q46" s="3">
        <v>100686000</v>
      </c>
      <c r="R46" s="3">
        <v>1376000</v>
      </c>
      <c r="S46" s="3">
        <v>276265000</v>
      </c>
    </row>
    <row r="47" spans="1:19" ht="16" x14ac:dyDescent="0.2">
      <c r="A47" s="2" t="s">
        <v>55</v>
      </c>
      <c r="B47" s="5">
        <v>7.15</v>
      </c>
      <c r="C47" s="5">
        <v>8.16</v>
      </c>
      <c r="D47" s="5">
        <v>9.0399999999999991</v>
      </c>
      <c r="E47" s="5">
        <v>9.73</v>
      </c>
      <c r="F47" s="5">
        <v>9.89</v>
      </c>
      <c r="G47" s="5">
        <v>9.36</v>
      </c>
      <c r="H47" s="5">
        <v>9.3699999999999992</v>
      </c>
      <c r="I47" s="5">
        <v>9.48</v>
      </c>
      <c r="J47" s="5">
        <v>10.01</v>
      </c>
      <c r="K47" s="5">
        <v>10.050000000000001</v>
      </c>
      <c r="L47" s="5">
        <v>10.67</v>
      </c>
      <c r="M47" s="5">
        <v>9.93</v>
      </c>
      <c r="N47" s="5">
        <v>6.61</v>
      </c>
      <c r="O47" s="6">
        <v>6.64</v>
      </c>
      <c r="P47" s="5">
        <v>10.39</v>
      </c>
      <c r="Q47" s="5">
        <v>8.83</v>
      </c>
      <c r="R47" s="5">
        <v>6.61</v>
      </c>
      <c r="S47" s="5">
        <v>6.64</v>
      </c>
    </row>
    <row r="48" spans="1:19" ht="16" x14ac:dyDescent="0.2">
      <c r="A48" s="2" t="s">
        <v>56</v>
      </c>
      <c r="B48" s="3">
        <v>319444000</v>
      </c>
      <c r="C48" s="3">
        <v>403092000</v>
      </c>
      <c r="D48" s="3">
        <v>446234000</v>
      </c>
      <c r="E48" s="3">
        <v>460611000</v>
      </c>
      <c r="F48" s="3">
        <v>458822000</v>
      </c>
      <c r="G48" s="3">
        <v>444584000</v>
      </c>
      <c r="H48" s="3">
        <v>484247000</v>
      </c>
      <c r="I48" s="3">
        <v>520085000</v>
      </c>
      <c r="J48" s="3">
        <v>602394000</v>
      </c>
      <c r="K48" s="3">
        <v>669202000</v>
      </c>
      <c r="L48" s="3">
        <v>754371000</v>
      </c>
      <c r="M48" s="3">
        <v>685181000</v>
      </c>
      <c r="N48" s="3">
        <v>446848000</v>
      </c>
      <c r="O48" s="4">
        <v>474071000</v>
      </c>
      <c r="P48" s="3">
        <v>223921000</v>
      </c>
      <c r="Q48" s="3">
        <v>58640000</v>
      </c>
      <c r="R48" s="3">
        <v>-42908000</v>
      </c>
      <c r="S48" s="3">
        <v>234418000</v>
      </c>
    </row>
    <row r="49" spans="1:19" ht="16" x14ac:dyDescent="0.2">
      <c r="A49" s="2" t="s">
        <v>57</v>
      </c>
      <c r="B49" s="3">
        <v>319444000</v>
      </c>
      <c r="C49" s="3">
        <v>403092000</v>
      </c>
      <c r="D49" s="3">
        <v>446234000</v>
      </c>
      <c r="E49" s="3">
        <v>460611000</v>
      </c>
      <c r="F49" s="3">
        <v>458822000</v>
      </c>
      <c r="G49" s="3">
        <v>444584000</v>
      </c>
      <c r="H49" s="3">
        <v>484247000</v>
      </c>
      <c r="I49" s="3">
        <v>520085000</v>
      </c>
      <c r="J49" s="3">
        <v>602394000</v>
      </c>
      <c r="K49" s="3">
        <v>669202000</v>
      </c>
      <c r="L49" s="3">
        <v>754371000</v>
      </c>
      <c r="M49" s="3">
        <v>685181000</v>
      </c>
      <c r="N49" s="3">
        <v>446848000</v>
      </c>
      <c r="O49" s="4">
        <v>474071000</v>
      </c>
      <c r="P49" s="3">
        <v>223921000</v>
      </c>
      <c r="Q49" s="3">
        <v>58640000</v>
      </c>
      <c r="R49" s="3">
        <v>-42908000</v>
      </c>
      <c r="S49" s="3">
        <v>234418000</v>
      </c>
    </row>
    <row r="50" spans="1:19" ht="16" x14ac:dyDescent="0.2">
      <c r="A50" s="2" t="s">
        <v>61</v>
      </c>
      <c r="B50" s="3">
        <v>223652</v>
      </c>
      <c r="C50" s="3">
        <v>234369</v>
      </c>
      <c r="D50" s="3">
        <v>235023</v>
      </c>
      <c r="E50" s="3">
        <v>241352</v>
      </c>
      <c r="F50" s="3">
        <v>234434</v>
      </c>
      <c r="G50" s="3">
        <v>239192</v>
      </c>
      <c r="H50" s="3">
        <v>249111</v>
      </c>
      <c r="I50" s="3">
        <v>250888</v>
      </c>
      <c r="J50" s="3">
        <v>256860</v>
      </c>
      <c r="K50" s="3">
        <v>274406</v>
      </c>
      <c r="L50" s="3">
        <v>283716</v>
      </c>
      <c r="M50" s="3">
        <v>285451</v>
      </c>
      <c r="N50" s="3">
        <v>290248</v>
      </c>
      <c r="O50" s="4">
        <v>302940</v>
      </c>
      <c r="P50" s="3">
        <v>78463</v>
      </c>
      <c r="Q50" s="3">
        <v>77716</v>
      </c>
      <c r="R50" s="3">
        <v>76278</v>
      </c>
      <c r="S50" s="3">
        <v>83213</v>
      </c>
    </row>
    <row r="51" spans="1:19" ht="16" x14ac:dyDescent="0.2">
      <c r="A51" s="2" t="s">
        <v>62</v>
      </c>
      <c r="B51" s="3" t="s">
        <v>24</v>
      </c>
      <c r="C51" s="5">
        <v>0.09</v>
      </c>
      <c r="D51" s="5">
        <v>8.35</v>
      </c>
      <c r="E51" s="5">
        <v>2.4500000000000002</v>
      </c>
      <c r="F51" s="5">
        <v>1.48</v>
      </c>
      <c r="G51" s="5">
        <v>0.55000000000000004</v>
      </c>
      <c r="H51" s="5">
        <v>0.63</v>
      </c>
      <c r="I51" s="5">
        <v>0.71</v>
      </c>
      <c r="J51" s="5">
        <v>0.8</v>
      </c>
      <c r="K51" s="5">
        <v>1.05</v>
      </c>
      <c r="L51" s="5">
        <v>1.31</v>
      </c>
      <c r="M51" s="5">
        <v>1.56</v>
      </c>
      <c r="N51" s="5">
        <v>1.78</v>
      </c>
      <c r="O51" s="6">
        <v>1.82</v>
      </c>
      <c r="P51" s="5">
        <v>0.43</v>
      </c>
      <c r="Q51" s="5">
        <v>0.43</v>
      </c>
      <c r="R51" s="5">
        <v>0.47</v>
      </c>
      <c r="S51" s="5">
        <v>0.48</v>
      </c>
    </row>
    <row r="52" spans="1:19" ht="16" x14ac:dyDescent="0.2">
      <c r="A52" s="2" t="s">
        <v>63</v>
      </c>
      <c r="B52" s="3">
        <v>80603000</v>
      </c>
      <c r="C52" s="3">
        <v>75205000</v>
      </c>
      <c r="D52" s="3">
        <v>74009000</v>
      </c>
      <c r="E52" s="3">
        <v>72327000</v>
      </c>
      <c r="F52" s="3">
        <v>62660000</v>
      </c>
      <c r="G52" s="3">
        <v>61536000</v>
      </c>
      <c r="H52" s="3">
        <v>59544000</v>
      </c>
      <c r="I52" s="3">
        <v>64756000</v>
      </c>
      <c r="J52" s="3">
        <v>68575000</v>
      </c>
      <c r="K52" s="3">
        <v>81081000</v>
      </c>
      <c r="L52" s="3">
        <v>84315000</v>
      </c>
      <c r="M52" s="3">
        <v>145747000</v>
      </c>
      <c r="N52" s="3">
        <v>165484000</v>
      </c>
      <c r="O52" s="4">
        <v>167229000</v>
      </c>
      <c r="P52" s="3">
        <v>39052000</v>
      </c>
      <c r="Q52" s="3">
        <v>42046000</v>
      </c>
      <c r="R52" s="3">
        <v>44284000</v>
      </c>
      <c r="S52" s="3">
        <v>41847000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1365649000</v>
      </c>
      <c r="C55" s="3">
        <v>1657663000</v>
      </c>
      <c r="D55" s="3">
        <v>1424352000</v>
      </c>
      <c r="E55" s="3">
        <v>1255977000</v>
      </c>
      <c r="F55" s="3">
        <v>1163208000</v>
      </c>
      <c r="G55" s="3">
        <v>1189771000</v>
      </c>
      <c r="H55" s="3">
        <v>1294480000</v>
      </c>
      <c r="I55" s="3">
        <v>1488719000</v>
      </c>
      <c r="J55" s="3">
        <v>1699340000</v>
      </c>
      <c r="K55" s="3">
        <v>2328188000</v>
      </c>
      <c r="L55" s="3">
        <v>2636172000</v>
      </c>
      <c r="M55" s="3">
        <v>2445676000</v>
      </c>
      <c r="N55" s="3">
        <v>2288058000</v>
      </c>
      <c r="O55" s="4">
        <v>2407756000</v>
      </c>
      <c r="P55" s="3">
        <v>2718047000</v>
      </c>
      <c r="Q55" s="3">
        <v>2285366000</v>
      </c>
      <c r="R55" s="3">
        <v>2288058000</v>
      </c>
      <c r="S55" s="3">
        <v>2407756000</v>
      </c>
    </row>
    <row r="56" spans="1:19" ht="16" x14ac:dyDescent="0.2">
      <c r="A56" s="2" t="s">
        <v>65</v>
      </c>
      <c r="B56" s="3">
        <v>192631000</v>
      </c>
      <c r="C56" s="3">
        <v>484368000</v>
      </c>
      <c r="D56" s="3">
        <v>350384000</v>
      </c>
      <c r="E56" s="3">
        <v>259994000</v>
      </c>
      <c r="F56" s="3">
        <v>207217000</v>
      </c>
      <c r="G56" s="3">
        <v>187529000</v>
      </c>
      <c r="H56" s="3">
        <v>217417000</v>
      </c>
      <c r="I56" s="3">
        <v>286958000</v>
      </c>
      <c r="J56" s="3">
        <v>283990000</v>
      </c>
      <c r="K56" s="3">
        <v>741901000</v>
      </c>
      <c r="L56" s="3">
        <v>990955000</v>
      </c>
      <c r="M56" s="3">
        <v>695910000</v>
      </c>
      <c r="N56" s="3">
        <v>404862000</v>
      </c>
      <c r="O56" s="4">
        <v>209640000</v>
      </c>
      <c r="P56" s="3">
        <v>756520000</v>
      </c>
      <c r="Q56" s="3">
        <v>370939000</v>
      </c>
      <c r="R56" s="3">
        <v>404862000</v>
      </c>
      <c r="S56" s="3">
        <v>209640000</v>
      </c>
    </row>
    <row r="57" spans="1:19" ht="16" x14ac:dyDescent="0.2">
      <c r="A57" s="2" t="s">
        <v>66</v>
      </c>
      <c r="B57" s="3">
        <v>192631000</v>
      </c>
      <c r="C57" s="3">
        <v>484368000</v>
      </c>
      <c r="D57" s="3">
        <v>350384000</v>
      </c>
      <c r="E57" s="3">
        <v>259994000</v>
      </c>
      <c r="F57" s="3">
        <v>207217000</v>
      </c>
      <c r="G57" s="3">
        <v>187529000</v>
      </c>
      <c r="H57" s="3">
        <v>217417000</v>
      </c>
      <c r="I57" s="3">
        <v>286958000</v>
      </c>
      <c r="J57" s="3">
        <v>283990000</v>
      </c>
      <c r="K57" s="3">
        <v>741901000</v>
      </c>
      <c r="L57" s="3">
        <v>990955000</v>
      </c>
      <c r="M57" s="3">
        <v>695910000</v>
      </c>
      <c r="N57" s="3">
        <v>404862000</v>
      </c>
      <c r="O57" s="4">
        <v>209640000</v>
      </c>
      <c r="P57" s="3">
        <v>756520000</v>
      </c>
      <c r="Q57" s="3">
        <v>370939000</v>
      </c>
      <c r="R57" s="3">
        <v>404862000</v>
      </c>
      <c r="S57" s="3">
        <v>209640000</v>
      </c>
    </row>
    <row r="58" spans="1:19" ht="16" x14ac:dyDescent="0.2">
      <c r="A58" s="2" t="s">
        <v>67</v>
      </c>
      <c r="B58" s="3" t="s">
        <v>24</v>
      </c>
      <c r="C58" s="3" t="s">
        <v>24</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1111004000</v>
      </c>
      <c r="C59" s="3">
        <v>1124109000</v>
      </c>
      <c r="D59" s="3">
        <v>1035275000</v>
      </c>
      <c r="E59" s="3">
        <v>916737000</v>
      </c>
      <c r="F59" s="3">
        <v>857310000</v>
      </c>
      <c r="G59" s="3">
        <v>892289000</v>
      </c>
      <c r="H59" s="3">
        <v>991810000</v>
      </c>
      <c r="I59" s="3">
        <v>1130452000</v>
      </c>
      <c r="J59" s="3">
        <v>1330364000</v>
      </c>
      <c r="K59" s="3">
        <v>1459471000</v>
      </c>
      <c r="L59" s="3">
        <v>1411894000</v>
      </c>
      <c r="M59" s="3">
        <v>1622989000</v>
      </c>
      <c r="N59" s="3">
        <v>1774830000</v>
      </c>
      <c r="O59" s="4">
        <v>2099966000</v>
      </c>
      <c r="P59" s="3">
        <v>1655774000</v>
      </c>
      <c r="Q59" s="3">
        <v>1807776000</v>
      </c>
      <c r="R59" s="3">
        <v>1774830000</v>
      </c>
      <c r="S59" s="3">
        <v>2099966000</v>
      </c>
    </row>
    <row r="60" spans="1:19" ht="16" x14ac:dyDescent="0.2">
      <c r="A60" s="2" t="s">
        <v>69</v>
      </c>
      <c r="B60" s="3">
        <v>1111004000</v>
      </c>
      <c r="C60" s="3">
        <v>1077315000</v>
      </c>
      <c r="D60" s="3">
        <v>1029586000</v>
      </c>
      <c r="E60" s="3">
        <v>916737000</v>
      </c>
      <c r="F60" s="3">
        <v>857310000</v>
      </c>
      <c r="G60" s="3">
        <v>892289000</v>
      </c>
      <c r="H60" s="3">
        <v>991810000</v>
      </c>
      <c r="I60" s="3">
        <v>1130452000</v>
      </c>
      <c r="J60" s="3">
        <v>494671000</v>
      </c>
      <c r="K60" s="3">
        <v>474822000</v>
      </c>
      <c r="L60" s="3">
        <v>375383000</v>
      </c>
      <c r="M60" s="3">
        <v>465322000</v>
      </c>
      <c r="N60" s="3">
        <v>551666000</v>
      </c>
      <c r="O60" s="4">
        <v>745924000</v>
      </c>
      <c r="P60" s="3">
        <v>446058000</v>
      </c>
      <c r="Q60" s="3">
        <v>624317000</v>
      </c>
      <c r="R60" s="3">
        <v>551666000</v>
      </c>
      <c r="S60" s="3">
        <v>745924000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v>46794000</v>
      </c>
      <c r="D63" s="3">
        <v>5689000</v>
      </c>
      <c r="E63" s="3" t="s">
        <v>24</v>
      </c>
      <c r="F63" s="3" t="s">
        <v>24</v>
      </c>
      <c r="G63" s="3" t="s">
        <v>24</v>
      </c>
      <c r="H63" s="3" t="s">
        <v>24</v>
      </c>
      <c r="I63" s="3" t="s">
        <v>24</v>
      </c>
      <c r="J63" s="3">
        <v>835693000</v>
      </c>
      <c r="K63" s="3">
        <v>984649000</v>
      </c>
      <c r="L63" s="3">
        <v>1036511000</v>
      </c>
      <c r="M63" s="3">
        <v>1157667000</v>
      </c>
      <c r="N63" s="3">
        <v>1223164000</v>
      </c>
      <c r="O63" s="4">
        <v>1354042000</v>
      </c>
      <c r="P63" s="3">
        <v>1209716000</v>
      </c>
      <c r="Q63" s="3">
        <v>1183459000</v>
      </c>
      <c r="R63" s="3">
        <v>1223164000</v>
      </c>
      <c r="S63" s="3">
        <v>1354042000</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62014000</v>
      </c>
      <c r="C70" s="3">
        <v>49186000</v>
      </c>
      <c r="D70" s="3">
        <v>38693000</v>
      </c>
      <c r="E70" s="3">
        <v>79246000</v>
      </c>
      <c r="F70" s="3">
        <v>98681000</v>
      </c>
      <c r="G70" s="3">
        <v>109953000</v>
      </c>
      <c r="H70" s="3">
        <v>85253000</v>
      </c>
      <c r="I70" s="3">
        <v>71309000</v>
      </c>
      <c r="J70" s="3">
        <v>84986000</v>
      </c>
      <c r="K70" s="3">
        <v>126816000</v>
      </c>
      <c r="L70" s="3">
        <v>233323000</v>
      </c>
      <c r="M70" s="3">
        <v>126777000</v>
      </c>
      <c r="N70" s="3">
        <v>108366000</v>
      </c>
      <c r="O70" s="4">
        <v>98150000</v>
      </c>
      <c r="P70" s="3">
        <v>305753000</v>
      </c>
      <c r="Q70" s="3">
        <v>106651000</v>
      </c>
      <c r="R70" s="3">
        <v>108366000</v>
      </c>
      <c r="S70" s="3">
        <v>98150000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1658374000</v>
      </c>
      <c r="C76" s="3">
        <v>1657128000</v>
      </c>
      <c r="D76" s="3">
        <v>1753176000</v>
      </c>
      <c r="E76" s="3">
        <v>1684841000</v>
      </c>
      <c r="F76" s="3">
        <v>1714285000</v>
      </c>
      <c r="G76" s="3">
        <v>1820400000</v>
      </c>
      <c r="H76" s="3">
        <v>2078625000</v>
      </c>
      <c r="I76" s="3">
        <v>2114647000</v>
      </c>
      <c r="J76" s="3">
        <v>2132501000</v>
      </c>
      <c r="K76" s="3">
        <v>2465778000</v>
      </c>
      <c r="L76" s="3">
        <v>2863429000</v>
      </c>
      <c r="M76" s="3">
        <v>3579899000</v>
      </c>
      <c r="N76" s="3">
        <v>4262594000</v>
      </c>
      <c r="O76" s="4">
        <v>4358561000</v>
      </c>
      <c r="P76" s="3">
        <v>3487610000</v>
      </c>
      <c r="Q76" s="3">
        <v>4060363000</v>
      </c>
      <c r="R76" s="3">
        <v>4262594000</v>
      </c>
      <c r="S76" s="3">
        <v>4358561000</v>
      </c>
    </row>
    <row r="77" spans="1:19" ht="16" x14ac:dyDescent="0.2">
      <c r="A77" s="2" t="s">
        <v>86</v>
      </c>
      <c r="B77" s="3">
        <v>173430000</v>
      </c>
      <c r="C77" s="3">
        <v>191079000</v>
      </c>
      <c r="D77" s="3">
        <v>166570000</v>
      </c>
      <c r="E77" s="3">
        <v>129427000</v>
      </c>
      <c r="F77" s="3">
        <v>111367000</v>
      </c>
      <c r="G77" s="3">
        <v>130169000</v>
      </c>
      <c r="H77" s="3">
        <v>139167000</v>
      </c>
      <c r="I77" s="3">
        <v>169896000</v>
      </c>
      <c r="J77" s="3">
        <v>172453000</v>
      </c>
      <c r="K77" s="3">
        <v>448199000</v>
      </c>
      <c r="L77" s="3">
        <v>444016000</v>
      </c>
      <c r="M77" s="3">
        <v>429460000</v>
      </c>
      <c r="N77" s="3">
        <v>382984000</v>
      </c>
      <c r="O77" s="4">
        <v>366443000</v>
      </c>
      <c r="P77" s="3">
        <v>389903000</v>
      </c>
      <c r="Q77" s="3">
        <v>383346000</v>
      </c>
      <c r="R77" s="3">
        <v>382984000</v>
      </c>
      <c r="S77" s="3">
        <v>366443000</v>
      </c>
    </row>
    <row r="78" spans="1:19" ht="16" x14ac:dyDescent="0.2">
      <c r="A78" s="2" t="s">
        <v>87</v>
      </c>
      <c r="B78" s="3">
        <v>311525000</v>
      </c>
      <c r="C78" s="3">
        <v>358839000</v>
      </c>
      <c r="D78" s="3">
        <v>373010000</v>
      </c>
      <c r="E78" s="3">
        <v>380478000</v>
      </c>
      <c r="F78" s="3">
        <v>388643000</v>
      </c>
      <c r="G78" s="3">
        <v>418486000</v>
      </c>
      <c r="H78" s="3">
        <v>452081000</v>
      </c>
      <c r="I78" s="3">
        <v>504874000</v>
      </c>
      <c r="J78" s="3">
        <v>495636000</v>
      </c>
      <c r="K78" s="3">
        <v>720568000</v>
      </c>
      <c r="L78" s="3">
        <v>679507000</v>
      </c>
      <c r="M78" s="3">
        <v>684119000</v>
      </c>
      <c r="N78" s="3">
        <v>676910000</v>
      </c>
      <c r="O78" s="4">
        <v>366443000</v>
      </c>
      <c r="P78" s="3">
        <v>389903000</v>
      </c>
      <c r="Q78" s="3">
        <v>383346000</v>
      </c>
      <c r="R78" s="3">
        <v>676910000</v>
      </c>
      <c r="S78" s="3">
        <v>366443000</v>
      </c>
    </row>
    <row r="79" spans="1:19" ht="16" x14ac:dyDescent="0.2">
      <c r="A79" s="2" t="s">
        <v>88</v>
      </c>
      <c r="B79" s="3">
        <v>138095000</v>
      </c>
      <c r="C79" s="3">
        <v>167760000</v>
      </c>
      <c r="D79" s="3">
        <v>206440000</v>
      </c>
      <c r="E79" s="3">
        <v>251051000</v>
      </c>
      <c r="F79" s="3">
        <v>277276000</v>
      </c>
      <c r="G79" s="3">
        <v>288317000</v>
      </c>
      <c r="H79" s="3">
        <v>312914000</v>
      </c>
      <c r="I79" s="3">
        <v>334978000</v>
      </c>
      <c r="J79" s="3">
        <v>323183000</v>
      </c>
      <c r="K79" s="3">
        <v>272369000</v>
      </c>
      <c r="L79" s="3">
        <v>235491000</v>
      </c>
      <c r="M79" s="3">
        <v>254659000</v>
      </c>
      <c r="N79" s="3">
        <v>293926000</v>
      </c>
      <c r="O79" s="4" t="s">
        <v>24</v>
      </c>
      <c r="P79" s="3" t="s">
        <v>24</v>
      </c>
      <c r="Q79" s="3" t="s">
        <v>24</v>
      </c>
      <c r="R79" s="3">
        <v>293926000</v>
      </c>
      <c r="S79" s="3" t="s">
        <v>24</v>
      </c>
    </row>
    <row r="80" spans="1:19" ht="16" x14ac:dyDescent="0.2">
      <c r="A80" s="2" t="s">
        <v>89</v>
      </c>
      <c r="B80" s="3" t="s">
        <v>24</v>
      </c>
      <c r="C80" s="3" t="s">
        <v>24</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2" t="s">
        <v>90</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1484944000</v>
      </c>
      <c r="C83" s="3">
        <v>1466049000</v>
      </c>
      <c r="D83" s="3">
        <v>1586606000</v>
      </c>
      <c r="E83" s="3">
        <v>1555414000</v>
      </c>
      <c r="F83" s="3">
        <v>1602918000</v>
      </c>
      <c r="G83" s="3">
        <v>1690231000</v>
      </c>
      <c r="H83" s="3">
        <v>1939458000</v>
      </c>
      <c r="I83" s="3">
        <v>1944751000</v>
      </c>
      <c r="J83" s="3">
        <v>1960048000</v>
      </c>
      <c r="K83" s="3">
        <v>2017579000</v>
      </c>
      <c r="L83" s="3">
        <v>2419413000</v>
      </c>
      <c r="M83" s="3">
        <v>3150439000</v>
      </c>
      <c r="N83" s="3">
        <v>3879610000</v>
      </c>
      <c r="O83" s="4">
        <v>3992118000</v>
      </c>
      <c r="P83" s="3">
        <v>3097707000</v>
      </c>
      <c r="Q83" s="3">
        <v>3677017000</v>
      </c>
      <c r="R83" s="3">
        <v>3879610000</v>
      </c>
      <c r="S83" s="3">
        <v>3992118000</v>
      </c>
    </row>
    <row r="84" spans="1:19" ht="16" x14ac:dyDescent="0.2">
      <c r="A84" s="2" t="s">
        <v>93</v>
      </c>
      <c r="B84" s="3">
        <v>1403787000</v>
      </c>
      <c r="C84" s="3">
        <v>1411838000</v>
      </c>
      <c r="D84" s="3">
        <v>1513589000</v>
      </c>
      <c r="E84" s="3">
        <v>1494676000</v>
      </c>
      <c r="F84" s="3">
        <v>1523613000</v>
      </c>
      <c r="G84" s="3">
        <v>1582571000</v>
      </c>
      <c r="H84" s="3">
        <v>1843070000</v>
      </c>
      <c r="I84" s="3">
        <v>1842118000</v>
      </c>
      <c r="J84" s="3">
        <v>1868211000</v>
      </c>
      <c r="K84" s="3">
        <v>1882147000</v>
      </c>
      <c r="L84" s="3">
        <v>1888288000</v>
      </c>
      <c r="M84" s="3">
        <v>2668613000</v>
      </c>
      <c r="N84" s="3">
        <v>3024014000</v>
      </c>
      <c r="O84" s="4">
        <v>3001569000</v>
      </c>
      <c r="P84" s="3">
        <v>2622125000</v>
      </c>
      <c r="Q84" s="3">
        <v>3052445000</v>
      </c>
      <c r="R84" s="3">
        <v>3024014000</v>
      </c>
      <c r="S84" s="3">
        <v>3001569000</v>
      </c>
    </row>
    <row r="85" spans="1:19" ht="16" x14ac:dyDescent="0.2">
      <c r="A85" s="2" t="s">
        <v>94</v>
      </c>
      <c r="B85" s="3">
        <v>1163549000</v>
      </c>
      <c r="C85" s="3">
        <v>1188004000</v>
      </c>
      <c r="D85" s="3">
        <v>1277369000</v>
      </c>
      <c r="E85" s="3">
        <v>1273789000</v>
      </c>
      <c r="F85" s="3">
        <v>1304231000</v>
      </c>
      <c r="G85" s="3">
        <v>1361913000</v>
      </c>
      <c r="H85" s="3">
        <v>1571190000</v>
      </c>
      <c r="I85" s="3">
        <v>1581146000</v>
      </c>
      <c r="J85" s="3">
        <v>1581160000</v>
      </c>
      <c r="K85" s="3">
        <v>1581160000</v>
      </c>
      <c r="L85" s="3">
        <v>1581160000</v>
      </c>
      <c r="M85" s="3">
        <v>2021931000</v>
      </c>
      <c r="N85" s="3">
        <v>2338399000</v>
      </c>
      <c r="O85" s="4">
        <v>2343789000</v>
      </c>
      <c r="P85" s="3">
        <v>2014890000</v>
      </c>
      <c r="Q85" s="3">
        <v>2337584000</v>
      </c>
      <c r="R85" s="3">
        <v>2338399000</v>
      </c>
      <c r="S85" s="3">
        <v>2343789000</v>
      </c>
    </row>
    <row r="86" spans="1:19" ht="16" x14ac:dyDescent="0.2">
      <c r="A86" s="2" t="s">
        <v>95</v>
      </c>
      <c r="B86" s="3">
        <v>240238000</v>
      </c>
      <c r="C86" s="3">
        <v>223834000</v>
      </c>
      <c r="D86" s="3">
        <v>236220000</v>
      </c>
      <c r="E86" s="3">
        <v>220887000</v>
      </c>
      <c r="F86" s="3">
        <v>219382000</v>
      </c>
      <c r="G86" s="3">
        <v>220658000</v>
      </c>
      <c r="H86" s="3">
        <v>271880000</v>
      </c>
      <c r="I86" s="3">
        <v>260972000</v>
      </c>
      <c r="J86" s="3">
        <v>287051000</v>
      </c>
      <c r="K86" s="3">
        <v>300987000</v>
      </c>
      <c r="L86" s="3">
        <v>307128000</v>
      </c>
      <c r="M86" s="3">
        <v>646682000</v>
      </c>
      <c r="N86" s="3">
        <v>685615000</v>
      </c>
      <c r="O86" s="4">
        <v>657780000</v>
      </c>
      <c r="P86" s="3">
        <v>607235000</v>
      </c>
      <c r="Q86" s="3">
        <v>714861000</v>
      </c>
      <c r="R86" s="3">
        <v>685615000</v>
      </c>
      <c r="S86" s="3">
        <v>657780000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81157000</v>
      </c>
      <c r="C89" s="3">
        <v>54211000</v>
      </c>
      <c r="D89" s="3">
        <v>73017000</v>
      </c>
      <c r="E89" s="3">
        <v>60738000</v>
      </c>
      <c r="F89" s="3">
        <v>79305000</v>
      </c>
      <c r="G89" s="3">
        <v>107660000</v>
      </c>
      <c r="H89" s="3">
        <v>96388000</v>
      </c>
      <c r="I89" s="3">
        <v>102633000</v>
      </c>
      <c r="J89" s="3">
        <v>91837000</v>
      </c>
      <c r="K89" s="3">
        <v>135432000</v>
      </c>
      <c r="L89" s="3">
        <v>531125000</v>
      </c>
      <c r="M89" s="3">
        <v>481826000</v>
      </c>
      <c r="N89" s="3">
        <v>855596000</v>
      </c>
      <c r="O89" s="4">
        <v>990549000</v>
      </c>
      <c r="P89" s="3">
        <v>475582000</v>
      </c>
      <c r="Q89" s="3">
        <v>624572000</v>
      </c>
      <c r="R89" s="3">
        <v>855596000</v>
      </c>
      <c r="S89" s="3">
        <v>990549000</v>
      </c>
    </row>
    <row r="90" spans="1:19" ht="16" x14ac:dyDescent="0.2">
      <c r="A90" s="2" t="s">
        <v>99</v>
      </c>
      <c r="B90" s="3">
        <v>3024023000</v>
      </c>
      <c r="C90" s="3">
        <v>3314791000</v>
      </c>
      <c r="D90" s="3">
        <v>3177528000</v>
      </c>
      <c r="E90" s="3">
        <v>2940818000</v>
      </c>
      <c r="F90" s="3">
        <v>2877493000</v>
      </c>
      <c r="G90" s="3">
        <v>3010171000</v>
      </c>
      <c r="H90" s="3">
        <v>3373105000</v>
      </c>
      <c r="I90" s="3">
        <v>3603366000</v>
      </c>
      <c r="J90" s="3">
        <v>3831841000</v>
      </c>
      <c r="K90" s="3">
        <v>4793966000</v>
      </c>
      <c r="L90" s="3">
        <v>5499601000</v>
      </c>
      <c r="M90" s="3">
        <v>6025575000</v>
      </c>
      <c r="N90" s="3">
        <v>6550652000</v>
      </c>
      <c r="O90" s="4">
        <v>6766317000</v>
      </c>
      <c r="P90" s="3">
        <v>6205657000</v>
      </c>
      <c r="Q90" s="3">
        <v>6345729000</v>
      </c>
      <c r="R90" s="3">
        <v>6550652000</v>
      </c>
      <c r="S90" s="3">
        <v>6766317000</v>
      </c>
    </row>
    <row r="91" spans="1:19" ht="16" x14ac:dyDescent="0.2">
      <c r="A91" s="2" t="s">
        <v>100</v>
      </c>
      <c r="B91" s="3">
        <v>800660000</v>
      </c>
      <c r="C91" s="3">
        <v>801823000</v>
      </c>
      <c r="D91" s="3">
        <v>451065000</v>
      </c>
      <c r="E91" s="3">
        <v>488807000</v>
      </c>
      <c r="F91" s="3">
        <v>481815000</v>
      </c>
      <c r="G91" s="3">
        <v>484769000</v>
      </c>
      <c r="H91" s="3">
        <v>504117000</v>
      </c>
      <c r="I91" s="3">
        <v>557559000</v>
      </c>
      <c r="J91" s="3">
        <v>664948000</v>
      </c>
      <c r="K91" s="3">
        <v>698011000</v>
      </c>
      <c r="L91" s="3">
        <v>666971000</v>
      </c>
      <c r="M91" s="3">
        <v>902616000</v>
      </c>
      <c r="N91" s="3">
        <v>1316640000</v>
      </c>
      <c r="O91" s="4">
        <v>1391029000</v>
      </c>
      <c r="P91" s="3">
        <v>944759000</v>
      </c>
      <c r="Q91" s="3">
        <v>986580000</v>
      </c>
      <c r="R91" s="3">
        <v>1316640000</v>
      </c>
      <c r="S91" s="3">
        <v>1391029000</v>
      </c>
    </row>
    <row r="92" spans="1:19" ht="16" x14ac:dyDescent="0.2">
      <c r="A92" s="2" t="s">
        <v>101</v>
      </c>
      <c r="B92" s="3" t="s">
        <v>24</v>
      </c>
      <c r="C92" s="3">
        <v>288377000</v>
      </c>
      <c r="D92" s="3">
        <v>248471000</v>
      </c>
      <c r="E92" s="3">
        <v>265079000</v>
      </c>
      <c r="F92" s="3">
        <v>215995000</v>
      </c>
      <c r="G92" s="3">
        <v>246670000</v>
      </c>
      <c r="H92" s="3">
        <v>268630000</v>
      </c>
      <c r="I92" s="3">
        <v>339993000</v>
      </c>
      <c r="J92" s="3">
        <v>417648000</v>
      </c>
      <c r="K92" s="3">
        <v>432953000</v>
      </c>
      <c r="L92" s="3">
        <v>371744000</v>
      </c>
      <c r="M92" s="3">
        <v>539524000</v>
      </c>
      <c r="N92" s="3">
        <v>597808000</v>
      </c>
      <c r="O92" s="4">
        <v>572355000</v>
      </c>
      <c r="P92" s="3">
        <v>542337000</v>
      </c>
      <c r="Q92" s="3">
        <v>482245000</v>
      </c>
      <c r="R92" s="3">
        <v>597808000</v>
      </c>
      <c r="S92" s="3">
        <v>572355000</v>
      </c>
    </row>
    <row r="93" spans="1:19" ht="16" x14ac:dyDescent="0.2">
      <c r="A93" s="2" t="s">
        <v>102</v>
      </c>
      <c r="B93" s="3" t="s">
        <v>24</v>
      </c>
      <c r="C93" s="3" t="s">
        <v>24</v>
      </c>
      <c r="D93" s="3" t="s">
        <v>24</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800660000</v>
      </c>
      <c r="C95" s="3">
        <v>513446000</v>
      </c>
      <c r="D95" s="3">
        <v>202594000</v>
      </c>
      <c r="E95" s="3">
        <v>223728000</v>
      </c>
      <c r="F95" s="3">
        <v>265820000</v>
      </c>
      <c r="G95" s="3">
        <v>238099000</v>
      </c>
      <c r="H95" s="3">
        <v>235487000</v>
      </c>
      <c r="I95" s="3">
        <v>217566000</v>
      </c>
      <c r="J95" s="3">
        <v>247300000</v>
      </c>
      <c r="K95" s="3">
        <v>265058000</v>
      </c>
      <c r="L95" s="3">
        <v>295227000</v>
      </c>
      <c r="M95" s="3">
        <v>363092000</v>
      </c>
      <c r="N95" s="3">
        <v>718832000</v>
      </c>
      <c r="O95" s="4">
        <v>818674000</v>
      </c>
      <c r="P95" s="3">
        <v>402422000</v>
      </c>
      <c r="Q95" s="3">
        <v>504335000</v>
      </c>
      <c r="R95" s="3">
        <v>718832000</v>
      </c>
      <c r="S95" s="3">
        <v>818674000</v>
      </c>
    </row>
    <row r="96" spans="1:19" ht="16" x14ac:dyDescent="0.2">
      <c r="A96" s="2" t="s">
        <v>105</v>
      </c>
      <c r="B96" s="3">
        <v>30000000</v>
      </c>
      <c r="C96" s="3">
        <v>42500000</v>
      </c>
      <c r="D96" s="3">
        <v>55562000</v>
      </c>
      <c r="E96" s="3">
        <v>73688000</v>
      </c>
      <c r="F96" s="3">
        <v>57063000</v>
      </c>
      <c r="G96" s="3">
        <v>112813000</v>
      </c>
      <c r="H96" s="3">
        <v>193150000</v>
      </c>
      <c r="I96" s="3">
        <v>63100000</v>
      </c>
      <c r="J96" s="3">
        <v>57924000</v>
      </c>
      <c r="K96" s="3">
        <v>226886000</v>
      </c>
      <c r="L96" s="3">
        <v>132821000</v>
      </c>
      <c r="M96" s="3">
        <v>120713000</v>
      </c>
      <c r="N96" s="3">
        <v>92488000</v>
      </c>
      <c r="O96" s="4">
        <v>162531000</v>
      </c>
      <c r="P96" s="3">
        <v>96233000</v>
      </c>
      <c r="Q96" s="3">
        <v>96567000</v>
      </c>
      <c r="R96" s="3">
        <v>92488000</v>
      </c>
      <c r="S96" s="3">
        <v>162531000</v>
      </c>
    </row>
    <row r="97" spans="1:19" ht="16" x14ac:dyDescent="0.2">
      <c r="A97" s="2" t="s">
        <v>106</v>
      </c>
      <c r="B97" s="3">
        <v>30000000</v>
      </c>
      <c r="C97" s="3">
        <v>42500000</v>
      </c>
      <c r="D97" s="3">
        <v>55562000</v>
      </c>
      <c r="E97" s="3">
        <v>73688000</v>
      </c>
      <c r="F97" s="3">
        <v>57063000</v>
      </c>
      <c r="G97" s="3">
        <v>112813000</v>
      </c>
      <c r="H97" s="3">
        <v>193150000</v>
      </c>
      <c r="I97" s="3">
        <v>63100000</v>
      </c>
      <c r="J97" s="3">
        <v>57924000</v>
      </c>
      <c r="K97" s="3">
        <v>177865000</v>
      </c>
      <c r="L97" s="3">
        <v>77865000</v>
      </c>
      <c r="M97" s="3">
        <v>68379000</v>
      </c>
      <c r="N97" s="3">
        <v>41250000</v>
      </c>
      <c r="O97" s="4">
        <v>116250000</v>
      </c>
      <c r="P97" s="3">
        <v>41250000</v>
      </c>
      <c r="Q97" s="3">
        <v>41250000</v>
      </c>
      <c r="R97" s="3">
        <v>41250000</v>
      </c>
      <c r="S97" s="3">
        <v>116250000</v>
      </c>
    </row>
    <row r="98" spans="1:19" ht="16" x14ac:dyDescent="0.2">
      <c r="A98" s="2" t="s">
        <v>107</v>
      </c>
      <c r="B98" s="3" t="s">
        <v>24</v>
      </c>
      <c r="C98" s="3" t="s">
        <v>24</v>
      </c>
      <c r="D98" s="3" t="s">
        <v>24</v>
      </c>
      <c r="E98" s="3" t="s">
        <v>24</v>
      </c>
      <c r="F98" s="3" t="s">
        <v>24</v>
      </c>
      <c r="G98" s="3" t="s">
        <v>24</v>
      </c>
      <c r="H98" s="3" t="s">
        <v>24</v>
      </c>
      <c r="I98" s="3" t="s">
        <v>24</v>
      </c>
      <c r="J98" s="3" t="s">
        <v>24</v>
      </c>
      <c r="K98" s="3">
        <v>49021000</v>
      </c>
      <c r="L98" s="3">
        <v>54956000</v>
      </c>
      <c r="M98" s="3">
        <v>52334000</v>
      </c>
      <c r="N98" s="3">
        <v>51238000</v>
      </c>
      <c r="O98" s="4">
        <v>46281000</v>
      </c>
      <c r="P98" s="3">
        <v>54983000</v>
      </c>
      <c r="Q98" s="3">
        <v>55317000</v>
      </c>
      <c r="R98" s="3">
        <v>51238000</v>
      </c>
      <c r="S98" s="3">
        <v>46281000</v>
      </c>
    </row>
    <row r="99" spans="1:19" ht="16" x14ac:dyDescent="0.2">
      <c r="A99" s="2" t="s">
        <v>108</v>
      </c>
      <c r="B99" s="3">
        <v>35475000</v>
      </c>
      <c r="C99" s="3">
        <v>70123000</v>
      </c>
      <c r="D99" s="3">
        <v>458019000</v>
      </c>
      <c r="E99" s="3">
        <v>354609000</v>
      </c>
      <c r="F99" s="3">
        <v>310116000</v>
      </c>
      <c r="G99" s="3">
        <v>342331000</v>
      </c>
      <c r="H99" s="3">
        <v>404134000</v>
      </c>
      <c r="I99" s="3">
        <v>415507000</v>
      </c>
      <c r="J99" s="3">
        <v>456367000</v>
      </c>
      <c r="K99" s="3">
        <v>402781000</v>
      </c>
      <c r="L99" s="3">
        <v>491313000</v>
      </c>
      <c r="M99" s="3">
        <v>510625000</v>
      </c>
      <c r="N99" s="3">
        <v>487926000</v>
      </c>
      <c r="O99" s="4">
        <v>438895000</v>
      </c>
      <c r="P99" s="3">
        <v>459188000</v>
      </c>
      <c r="Q99" s="3">
        <v>499572000</v>
      </c>
      <c r="R99" s="3">
        <v>487926000</v>
      </c>
      <c r="S99" s="3">
        <v>438895000</v>
      </c>
    </row>
    <row r="100" spans="1:19" ht="16" x14ac:dyDescent="0.2">
      <c r="A100" s="2" t="s">
        <v>109</v>
      </c>
      <c r="B100" s="3" t="s">
        <v>24</v>
      </c>
      <c r="C100" s="3" t="s">
        <v>24</v>
      </c>
      <c r="D100" s="3" t="s">
        <v>24</v>
      </c>
      <c r="E100" s="3" t="s">
        <v>24</v>
      </c>
      <c r="F100" s="3" t="s">
        <v>24</v>
      </c>
      <c r="G100" s="3" t="s">
        <v>24</v>
      </c>
      <c r="H100" s="3" t="s">
        <v>24</v>
      </c>
      <c r="I100" s="3" t="s">
        <v>24</v>
      </c>
      <c r="J100" s="3" t="s">
        <v>24</v>
      </c>
      <c r="K100" s="3" t="s">
        <v>24</v>
      </c>
      <c r="L100" s="3">
        <v>15906000</v>
      </c>
      <c r="M100" s="3">
        <v>26747000</v>
      </c>
      <c r="N100" s="3">
        <v>18995000</v>
      </c>
      <c r="O100" s="4">
        <v>13635000</v>
      </c>
      <c r="P100" s="3" t="s">
        <v>24</v>
      </c>
      <c r="Q100" s="3">
        <v>21619000</v>
      </c>
      <c r="R100" s="3">
        <v>18995000</v>
      </c>
      <c r="S100" s="3">
        <v>13635000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v>59493000</v>
      </c>
      <c r="D102" s="3">
        <v>10286000</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35475000</v>
      </c>
      <c r="C103" s="3">
        <v>10630000</v>
      </c>
      <c r="D103" s="3">
        <v>447733000</v>
      </c>
      <c r="E103" s="3">
        <v>354609000</v>
      </c>
      <c r="F103" s="3">
        <v>310116000</v>
      </c>
      <c r="G103" s="3">
        <v>342331000</v>
      </c>
      <c r="H103" s="3">
        <v>404134000</v>
      </c>
      <c r="I103" s="3">
        <v>415507000</v>
      </c>
      <c r="J103" s="3">
        <v>456367000</v>
      </c>
      <c r="K103" s="3">
        <v>402781000</v>
      </c>
      <c r="L103" s="3">
        <v>475407000</v>
      </c>
      <c r="M103" s="3">
        <v>483878000</v>
      </c>
      <c r="N103" s="3">
        <v>468931000</v>
      </c>
      <c r="O103" s="4">
        <v>425260000</v>
      </c>
      <c r="P103" s="3">
        <v>459188000</v>
      </c>
      <c r="Q103" s="3">
        <v>477953000</v>
      </c>
      <c r="R103" s="3">
        <v>468931000</v>
      </c>
      <c r="S103" s="3">
        <v>425260000</v>
      </c>
    </row>
    <row r="104" spans="1:19" ht="16" x14ac:dyDescent="0.2">
      <c r="A104" s="2" t="s">
        <v>113</v>
      </c>
      <c r="B104" s="3">
        <v>866135000</v>
      </c>
      <c r="C104" s="3">
        <v>914446000</v>
      </c>
      <c r="D104" s="3">
        <v>964646000</v>
      </c>
      <c r="E104" s="3">
        <v>917104000</v>
      </c>
      <c r="F104" s="3">
        <v>848994000</v>
      </c>
      <c r="G104" s="3">
        <v>939913000</v>
      </c>
      <c r="H104" s="3">
        <v>1101401000</v>
      </c>
      <c r="I104" s="3">
        <v>1036166000</v>
      </c>
      <c r="J104" s="3">
        <v>1179239000</v>
      </c>
      <c r="K104" s="3">
        <v>1327678000</v>
      </c>
      <c r="L104" s="3">
        <v>1291105000</v>
      </c>
      <c r="M104" s="3">
        <v>1533954000</v>
      </c>
      <c r="N104" s="3">
        <v>1897054000</v>
      </c>
      <c r="O104" s="4">
        <v>1992455000</v>
      </c>
      <c r="P104" s="3">
        <v>1500180000</v>
      </c>
      <c r="Q104" s="3">
        <v>1582719000</v>
      </c>
      <c r="R104" s="3">
        <v>1897054000</v>
      </c>
      <c r="S104" s="3">
        <v>1992455000</v>
      </c>
    </row>
    <row r="105" spans="1:19" ht="16" x14ac:dyDescent="0.2">
      <c r="A105" s="2" t="s">
        <v>114</v>
      </c>
      <c r="B105" s="3">
        <v>964328000</v>
      </c>
      <c r="C105" s="3">
        <v>922925000</v>
      </c>
      <c r="D105" s="3">
        <v>1659611000</v>
      </c>
      <c r="E105" s="3">
        <v>1585231000</v>
      </c>
      <c r="F105" s="3">
        <v>1569272000</v>
      </c>
      <c r="G105" s="3">
        <v>1484448000</v>
      </c>
      <c r="H105" s="3">
        <v>1470174000</v>
      </c>
      <c r="I105" s="3">
        <v>1755479000</v>
      </c>
      <c r="J105" s="3">
        <v>1701837000</v>
      </c>
      <c r="K105" s="3">
        <v>2278245000</v>
      </c>
      <c r="L105" s="3">
        <v>2541875000</v>
      </c>
      <c r="M105" s="3">
        <v>2978763000</v>
      </c>
      <c r="N105" s="3">
        <v>2969039000</v>
      </c>
      <c r="O105" s="4">
        <v>2956806000</v>
      </c>
      <c r="P105" s="3">
        <v>3002140000</v>
      </c>
      <c r="Q105" s="3">
        <v>2979900000</v>
      </c>
      <c r="R105" s="3">
        <v>2969039000</v>
      </c>
      <c r="S105" s="3">
        <v>2956806000</v>
      </c>
    </row>
    <row r="106" spans="1:19" ht="16" x14ac:dyDescent="0.2">
      <c r="A106" s="2" t="s">
        <v>115</v>
      </c>
      <c r="B106" s="3">
        <v>964328000</v>
      </c>
      <c r="C106" s="3">
        <v>922925000</v>
      </c>
      <c r="D106" s="3">
        <v>1659611000</v>
      </c>
      <c r="E106" s="3">
        <v>1585231000</v>
      </c>
      <c r="F106" s="3">
        <v>1569272000</v>
      </c>
      <c r="G106" s="3">
        <v>1484448000</v>
      </c>
      <c r="H106" s="3">
        <v>1470174000</v>
      </c>
      <c r="I106" s="3">
        <v>1755479000</v>
      </c>
      <c r="J106" s="3">
        <v>1701837000</v>
      </c>
      <c r="K106" s="3">
        <v>2007979000</v>
      </c>
      <c r="L106" s="3">
        <v>2278731000</v>
      </c>
      <c r="M106" s="3">
        <v>2731693000</v>
      </c>
      <c r="N106" s="3">
        <v>2770895000</v>
      </c>
      <c r="O106" s="4">
        <v>2761333000</v>
      </c>
      <c r="P106" s="3">
        <v>2790011000</v>
      </c>
      <c r="Q106" s="3">
        <v>2780461000</v>
      </c>
      <c r="R106" s="3">
        <v>2770895000</v>
      </c>
      <c r="S106" s="3">
        <v>2761333000</v>
      </c>
    </row>
    <row r="107" spans="1:19" ht="16" x14ac:dyDescent="0.2">
      <c r="A107" s="2" t="s">
        <v>116</v>
      </c>
      <c r="B107" s="3" t="s">
        <v>24</v>
      </c>
      <c r="C107" s="3" t="s">
        <v>24</v>
      </c>
      <c r="D107" s="3" t="s">
        <v>24</v>
      </c>
      <c r="E107" s="3" t="s">
        <v>24</v>
      </c>
      <c r="F107" s="3" t="s">
        <v>24</v>
      </c>
      <c r="G107" s="3" t="s">
        <v>24</v>
      </c>
      <c r="H107" s="3" t="s">
        <v>24</v>
      </c>
      <c r="I107" s="3" t="s">
        <v>24</v>
      </c>
      <c r="J107" s="3" t="s">
        <v>24</v>
      </c>
      <c r="K107" s="3">
        <v>270266000</v>
      </c>
      <c r="L107" s="3">
        <v>263144000</v>
      </c>
      <c r="M107" s="3">
        <v>247070000</v>
      </c>
      <c r="N107" s="3">
        <v>198144000</v>
      </c>
      <c r="O107" s="4">
        <v>195473000</v>
      </c>
      <c r="P107" s="3">
        <v>212129000</v>
      </c>
      <c r="Q107" s="3">
        <v>199439000</v>
      </c>
      <c r="R107" s="3">
        <v>198144000</v>
      </c>
      <c r="S107" s="3">
        <v>195473000</v>
      </c>
    </row>
    <row r="108" spans="1:19" ht="16" x14ac:dyDescent="0.2">
      <c r="A108" s="2" t="s">
        <v>117</v>
      </c>
      <c r="B108" s="3">
        <v>286310000</v>
      </c>
      <c r="C108" s="3">
        <v>292235000</v>
      </c>
      <c r="D108" s="3">
        <v>326478000</v>
      </c>
      <c r="E108" s="3">
        <v>266847000</v>
      </c>
      <c r="F108" s="3">
        <v>272729000</v>
      </c>
      <c r="G108" s="3">
        <v>177322000</v>
      </c>
      <c r="H108" s="3">
        <v>227939000</v>
      </c>
      <c r="I108" s="3">
        <v>257093000</v>
      </c>
      <c r="J108" s="3">
        <v>275399000</v>
      </c>
      <c r="K108" s="3">
        <v>331687000</v>
      </c>
      <c r="L108" s="3">
        <v>595445000</v>
      </c>
      <c r="M108" s="3">
        <v>466137000</v>
      </c>
      <c r="N108" s="3">
        <v>692557000</v>
      </c>
      <c r="O108" s="4">
        <v>799985000</v>
      </c>
      <c r="P108" s="3">
        <v>484802000</v>
      </c>
      <c r="Q108" s="3">
        <v>577431000</v>
      </c>
      <c r="R108" s="3">
        <v>692557000</v>
      </c>
      <c r="S108" s="3">
        <v>799985000</v>
      </c>
    </row>
    <row r="109" spans="1:19" ht="16" x14ac:dyDescent="0.2">
      <c r="A109" s="2" t="s">
        <v>118</v>
      </c>
      <c r="B109" s="3">
        <v>90474000</v>
      </c>
      <c r="C109" s="3">
        <v>55282000</v>
      </c>
      <c r="D109" s="3">
        <v>57018000</v>
      </c>
      <c r="E109" s="3">
        <v>65637000</v>
      </c>
      <c r="F109" s="3">
        <v>58444000</v>
      </c>
      <c r="G109" s="3">
        <v>1517000</v>
      </c>
      <c r="H109" s="3">
        <v>11647000</v>
      </c>
      <c r="I109" s="3">
        <v>16272000</v>
      </c>
      <c r="J109" s="3">
        <v>123405000</v>
      </c>
      <c r="K109" s="3">
        <v>144216000</v>
      </c>
      <c r="L109" s="3">
        <v>417664000</v>
      </c>
      <c r="M109" s="3">
        <v>239602000</v>
      </c>
      <c r="N109" s="3">
        <v>552623000</v>
      </c>
      <c r="O109" s="4">
        <v>654341000</v>
      </c>
      <c r="P109" s="3" t="s">
        <v>24</v>
      </c>
      <c r="Q109" s="3">
        <v>425603000</v>
      </c>
      <c r="R109" s="3">
        <v>552623000</v>
      </c>
      <c r="S109" s="3">
        <v>654341000</v>
      </c>
    </row>
    <row r="110" spans="1:19" ht="16" x14ac:dyDescent="0.2">
      <c r="A110" s="2" t="s">
        <v>119</v>
      </c>
      <c r="B110" s="3" t="s">
        <v>24</v>
      </c>
      <c r="C110" s="3">
        <v>95946000</v>
      </c>
      <c r="D110" s="3">
        <v>83761000</v>
      </c>
      <c r="E110" s="3">
        <v>80527000</v>
      </c>
      <c r="F110" s="3">
        <v>111624000</v>
      </c>
      <c r="G110" s="3">
        <v>118554000</v>
      </c>
      <c r="H110" s="3">
        <v>123492000</v>
      </c>
      <c r="I110" s="3">
        <v>131526000</v>
      </c>
      <c r="J110" s="3">
        <v>124925000</v>
      </c>
      <c r="K110" s="3">
        <v>124375000</v>
      </c>
      <c r="L110" s="3">
        <v>126054000</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195836000</v>
      </c>
      <c r="C114" s="3">
        <v>141007000</v>
      </c>
      <c r="D114" s="3">
        <v>185699000</v>
      </c>
      <c r="E114" s="3">
        <v>120683000</v>
      </c>
      <c r="F114" s="3">
        <v>102661000</v>
      </c>
      <c r="G114" s="3">
        <v>57251000</v>
      </c>
      <c r="H114" s="3">
        <v>92800000</v>
      </c>
      <c r="I114" s="3">
        <v>109295000</v>
      </c>
      <c r="J114" s="3">
        <v>27069000</v>
      </c>
      <c r="K114" s="3">
        <v>63096000</v>
      </c>
      <c r="L114" s="3">
        <v>51727000</v>
      </c>
      <c r="M114" s="3">
        <v>226535000</v>
      </c>
      <c r="N114" s="3">
        <v>139934000</v>
      </c>
      <c r="O114" s="4">
        <v>145644000</v>
      </c>
      <c r="P114" s="3">
        <v>484802000</v>
      </c>
      <c r="Q114" s="3">
        <v>151828000</v>
      </c>
      <c r="R114" s="3">
        <v>139934000</v>
      </c>
      <c r="S114" s="3">
        <v>145644000</v>
      </c>
    </row>
    <row r="115" spans="1:19" ht="16" x14ac:dyDescent="0.2">
      <c r="A115" s="2" t="s">
        <v>121</v>
      </c>
      <c r="B115" s="3">
        <v>1250638000</v>
      </c>
      <c r="C115" s="3">
        <v>1215160000</v>
      </c>
      <c r="D115" s="3">
        <v>1986089000</v>
      </c>
      <c r="E115" s="3">
        <v>1852078000</v>
      </c>
      <c r="F115" s="3">
        <v>1842001000</v>
      </c>
      <c r="G115" s="3">
        <v>1661770000</v>
      </c>
      <c r="H115" s="3">
        <v>1698113000</v>
      </c>
      <c r="I115" s="3">
        <v>2012572000</v>
      </c>
      <c r="J115" s="3">
        <v>1977236000</v>
      </c>
      <c r="K115" s="3">
        <v>2609932000</v>
      </c>
      <c r="L115" s="3">
        <v>3137320000</v>
      </c>
      <c r="M115" s="3">
        <v>3444900000</v>
      </c>
      <c r="N115" s="3">
        <v>3661596000</v>
      </c>
      <c r="O115" s="4">
        <v>3756791000</v>
      </c>
      <c r="P115" s="3">
        <v>3486942000</v>
      </c>
      <c r="Q115" s="3">
        <v>3557331000</v>
      </c>
      <c r="R115" s="3">
        <v>3661596000</v>
      </c>
      <c r="S115" s="3">
        <v>3756791000</v>
      </c>
    </row>
    <row r="116" spans="1:19" ht="16" x14ac:dyDescent="0.2">
      <c r="A116" s="2" t="s">
        <v>122</v>
      </c>
      <c r="B116" s="3">
        <v>2116773000</v>
      </c>
      <c r="C116" s="3">
        <v>2129606000</v>
      </c>
      <c r="D116" s="3">
        <v>2950735000</v>
      </c>
      <c r="E116" s="3">
        <v>2769182000</v>
      </c>
      <c r="F116" s="3">
        <v>2690995000</v>
      </c>
      <c r="G116" s="3">
        <v>2601683000</v>
      </c>
      <c r="H116" s="3">
        <v>2799514000</v>
      </c>
      <c r="I116" s="3">
        <v>3048738000</v>
      </c>
      <c r="J116" s="3">
        <v>3156475000</v>
      </c>
      <c r="K116" s="3">
        <v>3937610000</v>
      </c>
      <c r="L116" s="3">
        <v>4428425000</v>
      </c>
      <c r="M116" s="3">
        <v>4978854000</v>
      </c>
      <c r="N116" s="3">
        <v>5558650000</v>
      </c>
      <c r="O116" s="4">
        <v>5749246000</v>
      </c>
      <c r="P116" s="3">
        <v>4987122000</v>
      </c>
      <c r="Q116" s="3">
        <v>5140050000</v>
      </c>
      <c r="R116" s="3">
        <v>5558650000</v>
      </c>
      <c r="S116" s="3">
        <v>5749246000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841373000</v>
      </c>
      <c r="C118" s="3">
        <v>899898000</v>
      </c>
      <c r="D118" s="3">
        <v>122249000</v>
      </c>
      <c r="E118" s="3">
        <v>145737000</v>
      </c>
      <c r="F118" s="3">
        <v>176493000</v>
      </c>
      <c r="G118" s="3">
        <v>245009000</v>
      </c>
      <c r="H118" s="3">
        <v>304466000</v>
      </c>
      <c r="I118" s="3">
        <v>348538000</v>
      </c>
      <c r="J118" s="3">
        <v>403195000</v>
      </c>
      <c r="K118" s="3">
        <v>469640000</v>
      </c>
      <c r="L118" s="3">
        <v>559586000</v>
      </c>
      <c r="M118" s="3">
        <v>657868000</v>
      </c>
      <c r="N118" s="3">
        <v>771119000</v>
      </c>
      <c r="O118" s="4">
        <v>806905000</v>
      </c>
      <c r="P118" s="3">
        <v>708271000</v>
      </c>
      <c r="Q118" s="3">
        <v>734675000</v>
      </c>
      <c r="R118" s="3">
        <v>771119000</v>
      </c>
      <c r="S118" s="3">
        <v>806905000</v>
      </c>
    </row>
    <row r="119" spans="1:19" ht="16" x14ac:dyDescent="0.2">
      <c r="A119" s="2" t="s">
        <v>125</v>
      </c>
      <c r="B119" s="3">
        <v>1315000</v>
      </c>
      <c r="C119" s="3">
        <v>1357000</v>
      </c>
      <c r="D119" s="3">
        <v>1413000</v>
      </c>
      <c r="E119" s="3">
        <v>1468000</v>
      </c>
      <c r="F119" s="3">
        <v>1508000</v>
      </c>
      <c r="G119" s="3">
        <v>1534000</v>
      </c>
      <c r="H119" s="3">
        <v>1559000</v>
      </c>
      <c r="I119" s="3">
        <v>1580000</v>
      </c>
      <c r="J119" s="3">
        <v>1599000</v>
      </c>
      <c r="K119" s="3">
        <v>1613000</v>
      </c>
      <c r="L119" s="3">
        <v>1629000</v>
      </c>
      <c r="M119" s="3">
        <v>1646000</v>
      </c>
      <c r="N119" s="3">
        <v>1659000</v>
      </c>
      <c r="O119" s="4">
        <v>1665000</v>
      </c>
      <c r="P119" s="3">
        <v>1651000</v>
      </c>
      <c r="Q119" s="3">
        <v>1653000</v>
      </c>
      <c r="R119" s="3">
        <v>1659000</v>
      </c>
      <c r="S119" s="3">
        <v>1665000</v>
      </c>
    </row>
    <row r="120" spans="1:19" ht="16" x14ac:dyDescent="0.2">
      <c r="A120" s="2" t="s">
        <v>126</v>
      </c>
      <c r="B120" s="3">
        <v>840058000</v>
      </c>
      <c r="C120" s="3">
        <v>898541000</v>
      </c>
      <c r="D120" s="3">
        <v>120836000</v>
      </c>
      <c r="E120" s="3">
        <v>144269000</v>
      </c>
      <c r="F120" s="3">
        <v>174985000</v>
      </c>
      <c r="G120" s="3">
        <v>243475000</v>
      </c>
      <c r="H120" s="3">
        <v>302907000</v>
      </c>
      <c r="I120" s="3">
        <v>346958000</v>
      </c>
      <c r="J120" s="3">
        <v>401596000</v>
      </c>
      <c r="K120" s="3">
        <v>468027000</v>
      </c>
      <c r="L120" s="3">
        <v>557957000</v>
      </c>
      <c r="M120" s="3">
        <v>656222000</v>
      </c>
      <c r="N120" s="3">
        <v>769460000</v>
      </c>
      <c r="O120" s="4">
        <v>805240000</v>
      </c>
      <c r="P120" s="3">
        <v>706620000</v>
      </c>
      <c r="Q120" s="3">
        <v>733022000</v>
      </c>
      <c r="R120" s="3">
        <v>769460000</v>
      </c>
      <c r="S120" s="3">
        <v>805240000</v>
      </c>
    </row>
    <row r="121" spans="1:19" ht="16" x14ac:dyDescent="0.2">
      <c r="A121" s="2" t="s">
        <v>127</v>
      </c>
      <c r="B121" s="3" t="s">
        <v>24</v>
      </c>
      <c r="C121" s="3">
        <v>5377000</v>
      </c>
      <c r="D121" s="3">
        <v>6444000</v>
      </c>
      <c r="E121" s="3">
        <v>10153000</v>
      </c>
      <c r="F121" s="3">
        <v>72293000</v>
      </c>
      <c r="G121" s="3">
        <v>135445000</v>
      </c>
      <c r="H121" s="3">
        <v>191900000</v>
      </c>
      <c r="I121" s="3">
        <v>461457000</v>
      </c>
      <c r="J121" s="3">
        <v>711450000</v>
      </c>
      <c r="K121" s="3">
        <v>898095000</v>
      </c>
      <c r="L121" s="3">
        <v>1216163000</v>
      </c>
      <c r="M121" s="3">
        <v>1635454000</v>
      </c>
      <c r="N121" s="3">
        <v>1859905000</v>
      </c>
      <c r="O121" s="4">
        <v>1972886000</v>
      </c>
      <c r="P121" s="3">
        <v>1722881000</v>
      </c>
      <c r="Q121" s="3">
        <v>1733690000</v>
      </c>
      <c r="R121" s="3">
        <v>1859905000</v>
      </c>
      <c r="S121" s="3">
        <v>1972886000</v>
      </c>
    </row>
    <row r="122" spans="1:19" ht="16" x14ac:dyDescent="0.2">
      <c r="A122" s="2" t="s">
        <v>128</v>
      </c>
      <c r="B122" s="3">
        <v>71330000</v>
      </c>
      <c r="C122" s="3">
        <v>299379000</v>
      </c>
      <c r="D122" s="3">
        <v>124775000</v>
      </c>
      <c r="E122" s="3">
        <v>42688000</v>
      </c>
      <c r="F122" s="3">
        <v>104457000</v>
      </c>
      <c r="G122" s="3">
        <v>318537000</v>
      </c>
      <c r="H122" s="3">
        <v>478102000</v>
      </c>
      <c r="I122" s="3">
        <v>682653000</v>
      </c>
      <c r="J122" s="3">
        <v>994811000</v>
      </c>
      <c r="K122" s="3">
        <v>1330812000</v>
      </c>
      <c r="L122" s="3">
        <v>1757524000</v>
      </c>
      <c r="M122" s="3">
        <v>2015071000</v>
      </c>
      <c r="N122" s="3">
        <v>2051455000</v>
      </c>
      <c r="O122" s="4">
        <v>2150361000</v>
      </c>
      <c r="P122" s="3">
        <v>2208952000</v>
      </c>
      <c r="Q122" s="3">
        <v>2182615000</v>
      </c>
      <c r="R122" s="3">
        <v>2051455000</v>
      </c>
      <c r="S122" s="3">
        <v>2150361000</v>
      </c>
    </row>
    <row r="123" spans="1:19" ht="16" x14ac:dyDescent="0.2">
      <c r="A123" s="2" t="s">
        <v>129</v>
      </c>
      <c r="B123" s="3">
        <v>-5453000</v>
      </c>
      <c r="C123" s="3">
        <v>-8715000</v>
      </c>
      <c r="D123" s="3">
        <v>-13787000</v>
      </c>
      <c r="E123" s="3">
        <v>-6636000</v>
      </c>
      <c r="F123" s="3">
        <v>-22159000</v>
      </c>
      <c r="G123" s="3">
        <v>-19613000</v>
      </c>
      <c r="H123" s="3">
        <v>-17077000</v>
      </c>
      <c r="I123" s="3">
        <v>-15106000</v>
      </c>
      <c r="J123" s="3">
        <v>-11190000</v>
      </c>
      <c r="K123" s="3">
        <v>-46001000</v>
      </c>
      <c r="L123" s="3">
        <v>-29771000</v>
      </c>
      <c r="M123" s="3">
        <v>8585000</v>
      </c>
      <c r="N123" s="3">
        <v>29333000</v>
      </c>
      <c r="O123" s="4">
        <v>32691000</v>
      </c>
      <c r="P123" s="3">
        <v>22141000</v>
      </c>
      <c r="Q123" s="3">
        <v>22079000</v>
      </c>
      <c r="R123" s="3">
        <v>29333000</v>
      </c>
      <c r="S123" s="3">
        <v>32691000</v>
      </c>
    </row>
    <row r="124" spans="1:19" ht="16" x14ac:dyDescent="0.2">
      <c r="A124" s="2" t="s">
        <v>130</v>
      </c>
      <c r="B124" s="3">
        <v>907250000</v>
      </c>
      <c r="C124" s="3">
        <v>1185185000</v>
      </c>
      <c r="D124" s="3">
        <v>226793000</v>
      </c>
      <c r="E124" s="3">
        <v>171636000</v>
      </c>
      <c r="F124" s="3">
        <v>186498000</v>
      </c>
      <c r="G124" s="3">
        <v>408488000</v>
      </c>
      <c r="H124" s="3">
        <v>573591000</v>
      </c>
      <c r="I124" s="3">
        <v>554628000</v>
      </c>
      <c r="J124" s="3">
        <v>675366000</v>
      </c>
      <c r="K124" s="3">
        <v>856356000</v>
      </c>
      <c r="L124" s="3">
        <v>1071176000</v>
      </c>
      <c r="M124" s="3">
        <v>1046070000</v>
      </c>
      <c r="N124" s="3">
        <v>992002000</v>
      </c>
      <c r="O124" s="4">
        <v>1017071000</v>
      </c>
      <c r="P124" s="3">
        <v>1216483000</v>
      </c>
      <c r="Q124" s="3">
        <v>1205679000</v>
      </c>
      <c r="R124" s="3">
        <v>992002000</v>
      </c>
      <c r="S124" s="3">
        <v>1017071000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v>651000</v>
      </c>
      <c r="N125" s="3" t="s">
        <v>24</v>
      </c>
      <c r="O125" s="4" t="s">
        <v>24</v>
      </c>
      <c r="P125" s="3">
        <v>2052000</v>
      </c>
      <c r="Q125" s="3" t="s">
        <v>24</v>
      </c>
      <c r="R125" s="3" t="s">
        <v>24</v>
      </c>
      <c r="S125" s="3" t="s">
        <v>24</v>
      </c>
    </row>
    <row r="126" spans="1:19" ht="16" x14ac:dyDescent="0.2">
      <c r="A126" s="2" t="s">
        <v>132</v>
      </c>
      <c r="B126" s="3">
        <v>907250000</v>
      </c>
      <c r="C126" s="3">
        <v>1185185000</v>
      </c>
      <c r="D126" s="3">
        <v>226793000</v>
      </c>
      <c r="E126" s="3">
        <v>171636000</v>
      </c>
      <c r="F126" s="3">
        <v>186498000</v>
      </c>
      <c r="G126" s="3">
        <v>408488000</v>
      </c>
      <c r="H126" s="3">
        <v>573591000</v>
      </c>
      <c r="I126" s="3">
        <v>554628000</v>
      </c>
      <c r="J126" s="3">
        <v>675366000</v>
      </c>
      <c r="K126" s="3">
        <v>856356000</v>
      </c>
      <c r="L126" s="3">
        <v>1071176000</v>
      </c>
      <c r="M126" s="3">
        <v>1046721000</v>
      </c>
      <c r="N126" s="3">
        <v>992002000</v>
      </c>
      <c r="O126" s="4">
        <v>1017071000</v>
      </c>
      <c r="P126" s="3">
        <v>1218535000</v>
      </c>
      <c r="Q126" s="3">
        <v>1205679000</v>
      </c>
      <c r="R126" s="3">
        <v>992002000</v>
      </c>
      <c r="S126" s="3">
        <v>1017071000</v>
      </c>
    </row>
    <row r="127" spans="1:19" ht="16" x14ac:dyDescent="0.2">
      <c r="A127" s="2" t="s">
        <v>133</v>
      </c>
      <c r="B127" s="3">
        <v>3024023000</v>
      </c>
      <c r="C127" s="3">
        <v>3314791000</v>
      </c>
      <c r="D127" s="3">
        <v>3177528000</v>
      </c>
      <c r="E127" s="3">
        <v>2940818000</v>
      </c>
      <c r="F127" s="3">
        <v>2877493000</v>
      </c>
      <c r="G127" s="3">
        <v>3010171000</v>
      </c>
      <c r="H127" s="3">
        <v>3373105000</v>
      </c>
      <c r="I127" s="3">
        <v>3603366000</v>
      </c>
      <c r="J127" s="3">
        <v>3831841000</v>
      </c>
      <c r="K127" s="3">
        <v>4793966000</v>
      </c>
      <c r="L127" s="3">
        <v>5499601000</v>
      </c>
      <c r="M127" s="3">
        <v>6025575000</v>
      </c>
      <c r="N127" s="3">
        <v>6550652000</v>
      </c>
      <c r="O127" s="4">
        <v>6766317000</v>
      </c>
      <c r="P127" s="3">
        <v>6205657000</v>
      </c>
      <c r="Q127" s="3">
        <v>6345729000</v>
      </c>
      <c r="R127" s="3">
        <v>6550652000</v>
      </c>
      <c r="S127" s="3">
        <v>6766317000</v>
      </c>
    </row>
    <row r="128" spans="1:19" ht="16" x14ac:dyDescent="0.2">
      <c r="A128" s="28" t="s">
        <v>134</v>
      </c>
      <c r="B128" s="26">
        <v>131571000</v>
      </c>
      <c r="C128" s="26">
        <v>135455000</v>
      </c>
      <c r="D128" s="26">
        <v>140971000</v>
      </c>
      <c r="E128" s="26">
        <v>146198000</v>
      </c>
      <c r="F128" s="26">
        <v>147794000</v>
      </c>
      <c r="G128" s="26">
        <v>148001000</v>
      </c>
      <c r="H128" s="26">
        <v>148888000</v>
      </c>
      <c r="I128" s="26">
        <v>143447000</v>
      </c>
      <c r="J128" s="26">
        <v>140028000</v>
      </c>
      <c r="K128" s="26">
        <v>138720000</v>
      </c>
      <c r="L128" s="26">
        <v>136246000</v>
      </c>
      <c r="M128" s="26">
        <v>132584000</v>
      </c>
      <c r="N128" s="26">
        <v>131638000</v>
      </c>
      <c r="O128" s="27">
        <v>131116000</v>
      </c>
      <c r="P128" s="26">
        <v>132315000</v>
      </c>
      <c r="Q128" s="26">
        <v>132356000</v>
      </c>
      <c r="R128" s="26">
        <v>131638000</v>
      </c>
      <c r="S128" s="26">
        <v>131116000</v>
      </c>
    </row>
    <row r="129" spans="1:19" ht="16" x14ac:dyDescent="0.2">
      <c r="A129" s="15" t="s">
        <v>198</v>
      </c>
      <c r="B129" s="10"/>
      <c r="C129" s="20">
        <f>(C128/B128)-1</f>
        <v>2.9520183019054347E-2</v>
      </c>
      <c r="D129" s="20">
        <f>(D128/C128)-1</f>
        <v>4.0722010999963087E-2</v>
      </c>
      <c r="E129" s="20">
        <f>(E128/D128)-1</f>
        <v>3.7078548070170525E-2</v>
      </c>
      <c r="F129" s="20">
        <f t="shared" ref="F129:S129" si="9">(F128/E128)-1</f>
        <v>1.0916702006867451E-2</v>
      </c>
      <c r="G129" s="20">
        <f t="shared" si="9"/>
        <v>1.4005981298292891E-3</v>
      </c>
      <c r="H129" s="20">
        <f t="shared" si="9"/>
        <v>5.9932027486300221E-3</v>
      </c>
      <c r="I129" s="20">
        <f t="shared" si="9"/>
        <v>-3.6544248025361381E-2</v>
      </c>
      <c r="J129" s="20">
        <f t="shared" si="9"/>
        <v>-2.3834586990316931E-2</v>
      </c>
      <c r="K129" s="20">
        <f t="shared" si="9"/>
        <v>-9.3409889450680739E-3</v>
      </c>
      <c r="L129" s="20">
        <f t="shared" si="9"/>
        <v>-1.7834486735870847E-2</v>
      </c>
      <c r="M129" s="20">
        <f t="shared" si="9"/>
        <v>-2.6877853294775655E-2</v>
      </c>
      <c r="N129" s="20">
        <f t="shared" si="9"/>
        <v>-7.1350992578289585E-3</v>
      </c>
      <c r="O129" s="20">
        <f t="shared" si="9"/>
        <v>-3.9654203193606463E-3</v>
      </c>
      <c r="P129" s="20">
        <f t="shared" si="9"/>
        <v>9.1445742701119492E-3</v>
      </c>
      <c r="Q129" s="20">
        <f t="shared" si="9"/>
        <v>3.0986660620491158E-4</v>
      </c>
      <c r="R129" s="20">
        <f t="shared" si="9"/>
        <v>-5.4247635165765029E-3</v>
      </c>
      <c r="S129" s="20">
        <f t="shared" si="9"/>
        <v>-3.9654203193606463E-3</v>
      </c>
    </row>
    <row r="130" spans="1:19" ht="16" x14ac:dyDescent="0.2">
      <c r="A130" s="2" t="s">
        <v>135</v>
      </c>
      <c r="B130" s="3" t="s">
        <v>24</v>
      </c>
      <c r="C130" s="3" t="s">
        <v>24</v>
      </c>
      <c r="D130" s="3" t="s">
        <v>24</v>
      </c>
      <c r="E130" s="3" t="s">
        <v>24</v>
      </c>
      <c r="F130" s="3" t="s">
        <v>24</v>
      </c>
      <c r="G130" s="3" t="s">
        <v>24</v>
      </c>
      <c r="H130" s="3" t="s">
        <v>24</v>
      </c>
      <c r="I130" s="3" t="s">
        <v>24</v>
      </c>
      <c r="J130" s="3" t="s">
        <v>24</v>
      </c>
      <c r="K130" s="3">
        <v>319287000</v>
      </c>
      <c r="L130" s="3">
        <v>318100000</v>
      </c>
      <c r="M130" s="3">
        <v>299404000</v>
      </c>
      <c r="N130" s="3">
        <v>249382000</v>
      </c>
      <c r="O130" s="4">
        <v>241754000</v>
      </c>
      <c r="P130" s="3">
        <v>267112000</v>
      </c>
      <c r="Q130" s="3">
        <v>254756000</v>
      </c>
      <c r="R130" s="3">
        <v>249382000</v>
      </c>
      <c r="S130" s="3">
        <v>241754000</v>
      </c>
    </row>
    <row r="131" spans="1:19" ht="16" x14ac:dyDescent="0.2">
      <c r="A131" s="2" t="s">
        <v>136</v>
      </c>
      <c r="B131" s="3">
        <v>801697000</v>
      </c>
      <c r="C131" s="3">
        <v>481057000</v>
      </c>
      <c r="D131" s="3">
        <v>1364789000</v>
      </c>
      <c r="E131" s="3">
        <v>1398925000</v>
      </c>
      <c r="F131" s="3">
        <v>1419118000</v>
      </c>
      <c r="G131" s="3">
        <v>1409732000</v>
      </c>
      <c r="H131" s="3">
        <v>1445907000</v>
      </c>
      <c r="I131" s="3">
        <v>1531621000</v>
      </c>
      <c r="J131" s="3">
        <v>1475771000</v>
      </c>
      <c r="K131" s="3">
        <v>1443943000</v>
      </c>
      <c r="L131" s="3">
        <v>1365641000</v>
      </c>
      <c r="M131" s="3">
        <v>2104162000</v>
      </c>
      <c r="N131" s="3">
        <v>2407283000</v>
      </c>
      <c r="O131" s="4">
        <v>2667943000</v>
      </c>
      <c r="P131" s="3">
        <v>2074741000</v>
      </c>
      <c r="Q131" s="3">
        <v>2450772000</v>
      </c>
      <c r="R131" s="3">
        <v>2407283000</v>
      </c>
      <c r="S131" s="3">
        <v>2667943000</v>
      </c>
    </row>
    <row r="132" spans="1:19" ht="16" x14ac:dyDescent="0.2">
      <c r="A132" s="2" t="s">
        <v>137</v>
      </c>
      <c r="B132" s="5">
        <v>88.37</v>
      </c>
      <c r="C132" s="5">
        <v>40.590000000000003</v>
      </c>
      <c r="D132" s="5">
        <v>601.78</v>
      </c>
      <c r="E132" s="5">
        <v>815.05</v>
      </c>
      <c r="F132" s="5">
        <v>760.93</v>
      </c>
      <c r="G132" s="5">
        <v>345.11</v>
      </c>
      <c r="H132" s="5">
        <v>252.08</v>
      </c>
      <c r="I132" s="5">
        <v>276.14999999999998</v>
      </c>
      <c r="J132" s="5">
        <v>218.51</v>
      </c>
      <c r="K132" s="5">
        <v>168.61</v>
      </c>
      <c r="L132" s="5">
        <v>127.49</v>
      </c>
      <c r="M132" s="5">
        <v>201.02</v>
      </c>
      <c r="N132" s="5">
        <v>242.67</v>
      </c>
      <c r="O132" s="6">
        <v>262.32</v>
      </c>
      <c r="P132" s="5">
        <v>170.27</v>
      </c>
      <c r="Q132" s="5">
        <v>203.27</v>
      </c>
      <c r="R132" s="5">
        <v>242.67</v>
      </c>
      <c r="S132" s="5">
        <v>262.32</v>
      </c>
    </row>
    <row r="133" spans="1:19" ht="16" x14ac:dyDescent="0.2">
      <c r="A133" s="2" t="s">
        <v>138</v>
      </c>
      <c r="B133" s="5">
        <v>-30.65</v>
      </c>
      <c r="C133" s="5">
        <v>-11.91</v>
      </c>
      <c r="D133" s="5">
        <v>-77.33</v>
      </c>
      <c r="E133" s="5">
        <v>-91.49</v>
      </c>
      <c r="F133" s="5">
        <v>-98.76</v>
      </c>
      <c r="G133" s="5">
        <v>-82.24</v>
      </c>
      <c r="H133" s="5">
        <v>-82.97</v>
      </c>
      <c r="I133" s="5">
        <v>-73.099999999999994</v>
      </c>
      <c r="J133" s="5">
        <v>-60.75</v>
      </c>
      <c r="K133" s="5">
        <v>-35.229999999999997</v>
      </c>
      <c r="L133" s="5">
        <v>-22.63</v>
      </c>
      <c r="M133" s="5">
        <v>-48.31</v>
      </c>
      <c r="N133" s="5">
        <v>-57.62</v>
      </c>
      <c r="O133" s="6">
        <v>-52.71</v>
      </c>
      <c r="P133" s="5">
        <v>-39.17</v>
      </c>
      <c r="Q133" s="5">
        <v>-56.08</v>
      </c>
      <c r="R133" s="5">
        <v>-57.62</v>
      </c>
      <c r="S133" s="5">
        <v>-52.71</v>
      </c>
    </row>
    <row r="134" spans="1:19" ht="16" x14ac:dyDescent="0.2">
      <c r="A134" s="2" t="s">
        <v>139</v>
      </c>
      <c r="B134" s="5">
        <v>1.58</v>
      </c>
      <c r="C134" s="5">
        <v>1.81</v>
      </c>
      <c r="D134" s="5">
        <v>1.48</v>
      </c>
      <c r="E134" s="5">
        <v>1.37</v>
      </c>
      <c r="F134" s="5">
        <v>1.37</v>
      </c>
      <c r="G134" s="5">
        <v>1.27</v>
      </c>
      <c r="H134" s="5">
        <v>1.18</v>
      </c>
      <c r="I134" s="5">
        <v>1.44</v>
      </c>
      <c r="J134" s="5">
        <v>1.44</v>
      </c>
      <c r="K134" s="5">
        <v>1.75</v>
      </c>
      <c r="L134" s="5">
        <v>2.04</v>
      </c>
      <c r="M134" s="5">
        <v>1.59</v>
      </c>
      <c r="N134" s="5">
        <v>1.21</v>
      </c>
      <c r="O134" s="6">
        <v>1.21</v>
      </c>
      <c r="P134" s="5">
        <v>1.81</v>
      </c>
      <c r="Q134" s="5">
        <v>1.44</v>
      </c>
      <c r="R134" s="5">
        <v>1.21</v>
      </c>
      <c r="S134" s="5">
        <v>1.21</v>
      </c>
    </row>
    <row r="135" spans="1:19" ht="16" x14ac:dyDescent="0.2">
      <c r="A135" s="2" t="s">
        <v>140</v>
      </c>
      <c r="B135" s="5">
        <v>69.5</v>
      </c>
      <c r="C135" s="5">
        <v>50.23</v>
      </c>
      <c r="D135" s="5">
        <v>32.65</v>
      </c>
      <c r="E135" s="5">
        <v>30.33</v>
      </c>
      <c r="F135" s="5">
        <v>27.53</v>
      </c>
      <c r="G135" s="5">
        <v>26.34</v>
      </c>
      <c r="H135" s="5">
        <v>24.31</v>
      </c>
      <c r="I135" s="5">
        <v>24.01</v>
      </c>
      <c r="J135" s="5">
        <v>-0.36</v>
      </c>
      <c r="K135" s="5">
        <v>-22.23</v>
      </c>
      <c r="L135" s="5">
        <v>-20.41</v>
      </c>
      <c r="M135" s="5">
        <v>-24.3</v>
      </c>
      <c r="N135" s="5">
        <v>-28.17</v>
      </c>
      <c r="O135" s="6">
        <v>-17.82</v>
      </c>
      <c r="P135" s="5">
        <v>-27.37</v>
      </c>
      <c r="Q135" s="5">
        <v>-16.760000000000002</v>
      </c>
      <c r="R135" s="5">
        <v>-28.17</v>
      </c>
      <c r="S135" s="5">
        <v>-17.82</v>
      </c>
    </row>
    <row r="136" spans="1:19" ht="16" x14ac:dyDescent="0.2">
      <c r="A136" s="2" t="s">
        <v>141</v>
      </c>
      <c r="B136" s="3">
        <v>25000</v>
      </c>
      <c r="C136" s="3">
        <v>25000</v>
      </c>
      <c r="D136" s="3">
        <v>24500</v>
      </c>
      <c r="E136" s="3">
        <v>22700</v>
      </c>
      <c r="F136" s="3">
        <v>22500</v>
      </c>
      <c r="G136" s="3">
        <v>22600</v>
      </c>
      <c r="H136" s="3">
        <v>23300</v>
      </c>
      <c r="I136" s="3">
        <v>24600</v>
      </c>
      <c r="J136" s="3">
        <v>26100</v>
      </c>
      <c r="K136" s="3">
        <v>27200</v>
      </c>
      <c r="L136" s="3">
        <v>27700</v>
      </c>
      <c r="M136" s="3">
        <v>29300</v>
      </c>
      <c r="N136" s="3">
        <v>31900</v>
      </c>
      <c r="O136" s="4">
        <v>31900</v>
      </c>
      <c r="P136" s="3">
        <v>29300</v>
      </c>
      <c r="Q136" s="3">
        <v>29300</v>
      </c>
      <c r="R136" s="3">
        <v>31900</v>
      </c>
      <c r="S136" s="3">
        <v>31900</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84694000</v>
      </c>
      <c r="C139" s="3">
        <v>239955000</v>
      </c>
      <c r="D139" s="3">
        <v>219058000</v>
      </c>
      <c r="E139" s="3">
        <v>232188000</v>
      </c>
      <c r="F139" s="3">
        <v>232569000</v>
      </c>
      <c r="G139" s="3">
        <v>294094000</v>
      </c>
      <c r="H139" s="3">
        <v>252490000</v>
      </c>
      <c r="I139" s="3">
        <v>305111000</v>
      </c>
      <c r="J139" s="3">
        <v>418529000</v>
      </c>
      <c r="K139" s="3">
        <v>482603000</v>
      </c>
      <c r="L139" s="3">
        <v>608958000</v>
      </c>
      <c r="M139" s="3">
        <v>466577000</v>
      </c>
      <c r="N139" s="3">
        <v>271215000</v>
      </c>
      <c r="O139" s="4">
        <v>294510000</v>
      </c>
      <c r="P139" s="3">
        <v>170781000</v>
      </c>
      <c r="Q139" s="3">
        <v>30689000</v>
      </c>
      <c r="R139" s="3">
        <v>-68348000</v>
      </c>
      <c r="S139" s="3">
        <v>161388000</v>
      </c>
    </row>
    <row r="140" spans="1:19" ht="16" x14ac:dyDescent="0.2">
      <c r="A140" s="2" t="s">
        <v>143</v>
      </c>
      <c r="B140" s="3">
        <v>80603000</v>
      </c>
      <c r="C140" s="3">
        <v>75205000</v>
      </c>
      <c r="D140" s="3">
        <v>74009000</v>
      </c>
      <c r="E140" s="3">
        <v>72327000</v>
      </c>
      <c r="F140" s="3">
        <v>62660000</v>
      </c>
      <c r="G140" s="3">
        <v>61536000</v>
      </c>
      <c r="H140" s="3">
        <v>59544000</v>
      </c>
      <c r="I140" s="3">
        <v>64756000</v>
      </c>
      <c r="J140" s="3">
        <v>68575000</v>
      </c>
      <c r="K140" s="3">
        <v>81081000</v>
      </c>
      <c r="L140" s="3">
        <v>84315000</v>
      </c>
      <c r="M140" s="3">
        <v>145747000</v>
      </c>
      <c r="N140" s="3">
        <v>165484000</v>
      </c>
      <c r="O140" s="4">
        <v>167229000</v>
      </c>
      <c r="P140" s="3">
        <v>39052000</v>
      </c>
      <c r="Q140" s="3">
        <v>42046000</v>
      </c>
      <c r="R140" s="3">
        <v>44284000</v>
      </c>
      <c r="S140" s="3">
        <v>41847000</v>
      </c>
    </row>
    <row r="141" spans="1:19" ht="16" x14ac:dyDescent="0.2">
      <c r="A141" s="2" t="s">
        <v>144</v>
      </c>
      <c r="B141" s="3">
        <v>128250000</v>
      </c>
      <c r="C141" s="3">
        <v>86329000</v>
      </c>
      <c r="D141" s="3">
        <v>-32031000</v>
      </c>
      <c r="E141" s="3">
        <v>-31785000</v>
      </c>
      <c r="F141" s="3">
        <v>-14057000</v>
      </c>
      <c r="G141" s="3">
        <v>5523000</v>
      </c>
      <c r="H141" s="3">
        <v>38849000</v>
      </c>
      <c r="I141" s="3">
        <v>28094000</v>
      </c>
      <c r="J141" s="3">
        <v>47394000</v>
      </c>
      <c r="K141" s="3">
        <v>171731000</v>
      </c>
      <c r="L141" s="3">
        <v>359356000</v>
      </c>
      <c r="M141" s="3">
        <v>-13545000</v>
      </c>
      <c r="N141" s="3">
        <v>-246717000</v>
      </c>
      <c r="O141" s="4">
        <v>-242519000</v>
      </c>
      <c r="P141" s="3">
        <v>12835000</v>
      </c>
      <c r="Q141" s="3">
        <v>18326000</v>
      </c>
      <c r="R141" s="3">
        <v>-307210000</v>
      </c>
      <c r="S141" s="3">
        <v>33530000</v>
      </c>
    </row>
    <row r="142" spans="1:19" ht="16" x14ac:dyDescent="0.2">
      <c r="A142" s="28" t="s">
        <v>145</v>
      </c>
      <c r="B142" s="26">
        <v>48678000</v>
      </c>
      <c r="C142" s="26">
        <v>31263000</v>
      </c>
      <c r="D142" s="26">
        <v>24841000</v>
      </c>
      <c r="E142" s="26">
        <v>20065000</v>
      </c>
      <c r="F142" s="26">
        <v>26163000</v>
      </c>
      <c r="G142" s="26">
        <v>24992000</v>
      </c>
      <c r="H142" s="26">
        <v>21249000</v>
      </c>
      <c r="I142" s="26">
        <v>23318000</v>
      </c>
      <c r="J142" s="26">
        <v>31275000</v>
      </c>
      <c r="K142" s="26">
        <v>43290000</v>
      </c>
      <c r="L142" s="26">
        <v>59844000</v>
      </c>
      <c r="M142" s="26">
        <v>69784000</v>
      </c>
      <c r="N142" s="26">
        <v>80272000</v>
      </c>
      <c r="O142" s="27">
        <v>84261000</v>
      </c>
      <c r="P142" s="26">
        <v>18526000</v>
      </c>
      <c r="Q142" s="26">
        <v>18770000</v>
      </c>
      <c r="R142" s="26">
        <v>29280000</v>
      </c>
      <c r="S142" s="26">
        <v>17685000</v>
      </c>
    </row>
    <row r="143" spans="1:19" ht="16" x14ac:dyDescent="0.2">
      <c r="A143" s="12" t="s">
        <v>199</v>
      </c>
      <c r="B143" s="20">
        <f t="shared" ref="B143:S143" si="10">B142/B2</f>
        <v>8.7060316606382485E-3</v>
      </c>
      <c r="C143" s="20">
        <f t="shared" si="10"/>
        <v>5.3356949681681066E-3</v>
      </c>
      <c r="D143" s="20">
        <f t="shared" si="10"/>
        <v>4.3141273821612454E-3</v>
      </c>
      <c r="E143" s="20">
        <f t="shared" si="10"/>
        <v>3.6623698389378636E-3</v>
      </c>
      <c r="F143" s="20">
        <f t="shared" si="10"/>
        <v>4.9600266931069982E-3</v>
      </c>
      <c r="G143" s="20">
        <f t="shared" si="10"/>
        <v>4.6232355323176967E-3</v>
      </c>
      <c r="H143" s="20">
        <f t="shared" si="10"/>
        <v>3.6609166608663531E-3</v>
      </c>
      <c r="I143" s="20">
        <f t="shared" si="10"/>
        <v>3.7781197964371479E-3</v>
      </c>
      <c r="J143" s="20">
        <f t="shared" si="10"/>
        <v>4.6650995512107106E-3</v>
      </c>
      <c r="K143" s="20">
        <f t="shared" si="10"/>
        <v>5.7999627805576243E-3</v>
      </c>
      <c r="L143" s="20">
        <f t="shared" si="10"/>
        <v>7.6147693237941308E-3</v>
      </c>
      <c r="M143" s="20">
        <f t="shared" si="10"/>
        <v>8.3436756459461716E-3</v>
      </c>
      <c r="N143" s="20">
        <f t="shared" si="10"/>
        <v>8.6697020848348141E-3</v>
      </c>
      <c r="O143" s="20">
        <f t="shared" si="10"/>
        <v>8.7192435851042808E-3</v>
      </c>
      <c r="P143" s="20">
        <f t="shared" si="10"/>
        <v>8.0583703353145058E-3</v>
      </c>
      <c r="Q143" s="20">
        <f t="shared" si="10"/>
        <v>8.2430347015512006E-3</v>
      </c>
      <c r="R143" s="20">
        <f t="shared" si="10"/>
        <v>1.2033234412584594E-2</v>
      </c>
      <c r="S143" s="20">
        <f t="shared" si="10"/>
        <v>6.6623067516649176E-3</v>
      </c>
    </row>
    <row r="144" spans="1:19" ht="16" x14ac:dyDescent="0.2">
      <c r="A144" s="2" t="s">
        <v>146</v>
      </c>
      <c r="B144" s="3">
        <v>42763000</v>
      </c>
      <c r="C144" s="3">
        <v>74785000</v>
      </c>
      <c r="D144" s="3">
        <v>-48088000</v>
      </c>
      <c r="E144" s="3">
        <v>-26371000</v>
      </c>
      <c r="F144" s="3">
        <v>-2543000</v>
      </c>
      <c r="G144" s="3">
        <v>3549000</v>
      </c>
      <c r="H144" s="3">
        <v>15536000</v>
      </c>
      <c r="I144" s="3">
        <v>13505000</v>
      </c>
      <c r="J144" s="3">
        <v>23006000</v>
      </c>
      <c r="K144" s="3">
        <v>65434000</v>
      </c>
      <c r="L144" s="3">
        <v>231998000</v>
      </c>
      <c r="M144" s="3">
        <v>-130197000</v>
      </c>
      <c r="N144" s="3">
        <v>-353902000</v>
      </c>
      <c r="O144" s="4" t="s">
        <v>24</v>
      </c>
      <c r="P144" s="3" t="s">
        <v>24</v>
      </c>
      <c r="Q144" s="3" t="s">
        <v>24</v>
      </c>
      <c r="R144" s="3" t="s">
        <v>24</v>
      </c>
      <c r="S144" s="3" t="s">
        <v>24</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36809000</v>
      </c>
      <c r="C146" s="3">
        <v>-19719000</v>
      </c>
      <c r="D146" s="3">
        <v>-8784000</v>
      </c>
      <c r="E146" s="3">
        <v>-25479000</v>
      </c>
      <c r="F146" s="3">
        <v>-37677000</v>
      </c>
      <c r="G146" s="3">
        <v>-23018000</v>
      </c>
      <c r="H146" s="3">
        <v>2064000</v>
      </c>
      <c r="I146" s="3">
        <v>-8729000</v>
      </c>
      <c r="J146" s="3">
        <v>-6887000</v>
      </c>
      <c r="K146" s="3">
        <v>63007000</v>
      </c>
      <c r="L146" s="3">
        <v>67514000</v>
      </c>
      <c r="M146" s="3">
        <v>46868000</v>
      </c>
      <c r="N146" s="3">
        <v>26913000</v>
      </c>
      <c r="O146" s="4">
        <v>-326780000</v>
      </c>
      <c r="P146" s="3">
        <v>-5691000</v>
      </c>
      <c r="Q146" s="3">
        <v>-444000</v>
      </c>
      <c r="R146" s="3">
        <v>-336490000</v>
      </c>
      <c r="S146" s="3">
        <v>15845000</v>
      </c>
    </row>
    <row r="147" spans="1:19" ht="16" x14ac:dyDescent="0.2">
      <c r="A147" s="2" t="s">
        <v>149</v>
      </c>
      <c r="B147" s="3">
        <v>2792000</v>
      </c>
      <c r="C147" s="3">
        <v>-41443000</v>
      </c>
      <c r="D147" s="3">
        <v>203618000</v>
      </c>
      <c r="E147" s="3">
        <v>59988000</v>
      </c>
      <c r="F147" s="3">
        <v>28786000</v>
      </c>
      <c r="G147" s="3">
        <v>-111919000</v>
      </c>
      <c r="H147" s="3">
        <v>31394000</v>
      </c>
      <c r="I147" s="3">
        <v>-28818000</v>
      </c>
      <c r="J147" s="3">
        <v>-34888000</v>
      </c>
      <c r="K147" s="3">
        <v>-183987000</v>
      </c>
      <c r="L147" s="3">
        <v>-333945000</v>
      </c>
      <c r="M147" s="3">
        <v>137747000</v>
      </c>
      <c r="N147" s="3">
        <v>412840000</v>
      </c>
      <c r="O147" s="4">
        <v>357704000</v>
      </c>
      <c r="P147" s="3">
        <v>50058000</v>
      </c>
      <c r="Q147" s="3">
        <v>47521000</v>
      </c>
      <c r="R147" s="3">
        <v>568422000</v>
      </c>
      <c r="S147" s="3">
        <v>-308297000</v>
      </c>
    </row>
    <row r="148" spans="1:19" ht="16" x14ac:dyDescent="0.2">
      <c r="A148" s="2" t="s">
        <v>150</v>
      </c>
      <c r="B148" s="3">
        <v>-92693000</v>
      </c>
      <c r="C148" s="3">
        <v>25275000</v>
      </c>
      <c r="D148" s="3">
        <v>125125000</v>
      </c>
      <c r="E148" s="3">
        <v>110308000</v>
      </c>
      <c r="F148" s="3">
        <v>60533000</v>
      </c>
      <c r="G148" s="3">
        <v>-31229000</v>
      </c>
      <c r="H148" s="3">
        <v>-87154000</v>
      </c>
      <c r="I148" s="3">
        <v>-135870000</v>
      </c>
      <c r="J148" s="3">
        <v>-196453000</v>
      </c>
      <c r="K148" s="3">
        <v>-129107000</v>
      </c>
      <c r="L148" s="3">
        <v>47081000</v>
      </c>
      <c r="M148" s="3">
        <v>-154652000</v>
      </c>
      <c r="N148" s="3">
        <v>-130187000</v>
      </c>
      <c r="O148" s="4">
        <v>-250163000</v>
      </c>
      <c r="P148" s="3">
        <v>166029000</v>
      </c>
      <c r="Q148" s="3">
        <v>-130017000</v>
      </c>
      <c r="R148" s="3">
        <v>39188000</v>
      </c>
      <c r="S148" s="3">
        <v>-325363000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-6157000</v>
      </c>
      <c r="C150" s="3">
        <v>1407000</v>
      </c>
      <c r="D150" s="3">
        <v>3038000</v>
      </c>
      <c r="E150" s="3">
        <v>-5923000</v>
      </c>
      <c r="F150" s="3">
        <v>-1591000</v>
      </c>
      <c r="G150" s="3">
        <v>12242000</v>
      </c>
      <c r="H150" s="3">
        <v>-115000</v>
      </c>
      <c r="I150" s="3">
        <v>14119000</v>
      </c>
      <c r="J150" s="3">
        <v>-2328000</v>
      </c>
      <c r="K150" s="3">
        <v>-13500000</v>
      </c>
      <c r="L150" s="3">
        <v>-1797000</v>
      </c>
      <c r="M150" s="3">
        <v>-19489000</v>
      </c>
      <c r="N150" s="3">
        <v>181907000</v>
      </c>
      <c r="O150" s="4">
        <v>182326000</v>
      </c>
      <c r="P150" s="3">
        <v>-5249000</v>
      </c>
      <c r="Q150" s="3">
        <v>194268000</v>
      </c>
      <c r="R150" s="3">
        <v>3524000</v>
      </c>
      <c r="S150" s="3">
        <v>-10217000</v>
      </c>
    </row>
    <row r="151" spans="1:19" ht="16" x14ac:dyDescent="0.2">
      <c r="A151" s="2" t="s">
        <v>153</v>
      </c>
      <c r="B151" s="3">
        <v>73376000</v>
      </c>
      <c r="C151" s="3">
        <v>-6171000</v>
      </c>
      <c r="D151" s="3">
        <v>-27323000</v>
      </c>
      <c r="E151" s="3">
        <v>39178000</v>
      </c>
      <c r="F151" s="3">
        <v>-30181000</v>
      </c>
      <c r="G151" s="3">
        <v>2082000</v>
      </c>
      <c r="H151" s="3">
        <v>14040000</v>
      </c>
      <c r="I151" s="3">
        <v>53534000</v>
      </c>
      <c r="J151" s="3">
        <v>107637000</v>
      </c>
      <c r="K151" s="3">
        <v>48260000</v>
      </c>
      <c r="L151" s="3">
        <v>-31506000</v>
      </c>
      <c r="M151" s="3">
        <v>194827000</v>
      </c>
      <c r="N151" s="3">
        <v>410848000</v>
      </c>
      <c r="O151" s="4">
        <v>489524000</v>
      </c>
      <c r="P151" s="3">
        <v>45740000</v>
      </c>
      <c r="Q151" s="3">
        <v>38097000</v>
      </c>
      <c r="R151" s="3">
        <v>331298000</v>
      </c>
      <c r="S151" s="3">
        <v>74389000</v>
      </c>
    </row>
    <row r="152" spans="1:19" ht="16" x14ac:dyDescent="0.2">
      <c r="A152" s="2" t="s">
        <v>154</v>
      </c>
      <c r="B152" s="3">
        <v>28266000</v>
      </c>
      <c r="C152" s="3">
        <v>-61954000</v>
      </c>
      <c r="D152" s="3">
        <v>102778000</v>
      </c>
      <c r="E152" s="3">
        <v>-83575000</v>
      </c>
      <c r="F152" s="3">
        <v>25000</v>
      </c>
      <c r="G152" s="3">
        <v>-95014000</v>
      </c>
      <c r="H152" s="3">
        <v>104623000</v>
      </c>
      <c r="I152" s="3">
        <v>39399000</v>
      </c>
      <c r="J152" s="3">
        <v>56256000</v>
      </c>
      <c r="K152" s="3">
        <v>-89640000</v>
      </c>
      <c r="L152" s="3">
        <v>-347723000</v>
      </c>
      <c r="M152" s="3">
        <v>117061000</v>
      </c>
      <c r="N152" s="3">
        <v>-49728000</v>
      </c>
      <c r="O152" s="4">
        <v>-63983000</v>
      </c>
      <c r="P152" s="3">
        <v>-156462000</v>
      </c>
      <c r="Q152" s="3">
        <v>-54827000</v>
      </c>
      <c r="R152" s="3">
        <v>194412000</v>
      </c>
      <c r="S152" s="3">
        <v>-47106000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296339000</v>
      </c>
      <c r="C154" s="3">
        <v>360046000</v>
      </c>
      <c r="D154" s="3">
        <v>464654000</v>
      </c>
      <c r="E154" s="3">
        <v>332718000</v>
      </c>
      <c r="F154" s="3">
        <v>309958000</v>
      </c>
      <c r="G154" s="3">
        <v>249234000</v>
      </c>
      <c r="H154" s="3">
        <v>382277000</v>
      </c>
      <c r="I154" s="3">
        <v>369143000</v>
      </c>
      <c r="J154" s="3">
        <v>499610000</v>
      </c>
      <c r="K154" s="3">
        <v>551428000</v>
      </c>
      <c r="L154" s="3">
        <v>718684000</v>
      </c>
      <c r="M154" s="3">
        <v>736526000</v>
      </c>
      <c r="N154" s="3">
        <v>602822000</v>
      </c>
      <c r="O154" s="4">
        <v>576924000</v>
      </c>
      <c r="P154" s="3">
        <v>272726000</v>
      </c>
      <c r="Q154" s="3">
        <v>138582000</v>
      </c>
      <c r="R154" s="3">
        <v>237148000</v>
      </c>
      <c r="S154" s="3">
        <v>-71532000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v>23332000</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v>23332000</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-88784000</v>
      </c>
      <c r="C159" s="3">
        <v>-76925000</v>
      </c>
      <c r="D159" s="3">
        <v>-33113000</v>
      </c>
      <c r="E159" s="3">
        <v>-20905000</v>
      </c>
      <c r="F159" s="3">
        <v>-36041000</v>
      </c>
      <c r="G159" s="3">
        <v>-66635000</v>
      </c>
      <c r="H159" s="3">
        <v>-53919000</v>
      </c>
      <c r="I159" s="3">
        <v>-78437000</v>
      </c>
      <c r="J159" s="3">
        <v>-94681000</v>
      </c>
      <c r="K159" s="3">
        <v>-128079000</v>
      </c>
      <c r="L159" s="3">
        <v>-87210000</v>
      </c>
      <c r="M159" s="3">
        <v>-79964000</v>
      </c>
      <c r="N159" s="3">
        <v>-76130000</v>
      </c>
      <c r="O159" s="4">
        <v>-72884000</v>
      </c>
      <c r="P159" s="3">
        <v>-16000000</v>
      </c>
      <c r="Q159" s="3">
        <v>-21664000</v>
      </c>
      <c r="R159" s="3">
        <v>-24732000</v>
      </c>
      <c r="S159" s="3">
        <v>-10488000</v>
      </c>
    </row>
    <row r="160" spans="1:19" ht="16" x14ac:dyDescent="0.2">
      <c r="A160" s="2" t="s">
        <v>162</v>
      </c>
      <c r="B160" s="3">
        <v>-88784000</v>
      </c>
      <c r="C160" s="3">
        <v>-76925000</v>
      </c>
      <c r="D160" s="3">
        <v>-33113000</v>
      </c>
      <c r="E160" s="3">
        <v>-20905000</v>
      </c>
      <c r="F160" s="3">
        <v>-36041000</v>
      </c>
      <c r="G160" s="3">
        <v>-66635000</v>
      </c>
      <c r="H160" s="3">
        <v>-53919000</v>
      </c>
      <c r="I160" s="3">
        <v>-78437000</v>
      </c>
      <c r="J160" s="3">
        <v>-94681000</v>
      </c>
      <c r="K160" s="3">
        <v>-128079000</v>
      </c>
      <c r="L160" s="3">
        <v>-87210000</v>
      </c>
      <c r="M160" s="3">
        <v>-79964000</v>
      </c>
      <c r="N160" s="3">
        <v>-76130000</v>
      </c>
      <c r="O160" s="4">
        <v>-72884000</v>
      </c>
      <c r="P160" s="3">
        <v>-16000000</v>
      </c>
      <c r="Q160" s="3">
        <v>-21664000</v>
      </c>
      <c r="R160" s="3">
        <v>-24732000</v>
      </c>
      <c r="S160" s="3">
        <v>-10488000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t="s">
        <v>24</v>
      </c>
      <c r="C162" s="3" t="s">
        <v>24</v>
      </c>
      <c r="D162" s="3" t="s">
        <v>24</v>
      </c>
      <c r="E162" s="3" t="s">
        <v>24</v>
      </c>
      <c r="F162" s="3" t="s">
        <v>24</v>
      </c>
      <c r="G162" s="3" t="s">
        <v>24</v>
      </c>
      <c r="H162" s="3" t="s">
        <v>24</v>
      </c>
      <c r="I162" s="3" t="s">
        <v>24</v>
      </c>
      <c r="J162" s="3" t="s">
        <v>24</v>
      </c>
      <c r="K162" s="3" t="s">
        <v>24</v>
      </c>
      <c r="L162" s="3">
        <v>-74168000</v>
      </c>
      <c r="M162" s="3">
        <v>-7000000</v>
      </c>
      <c r="N162" s="3">
        <v>-5000000</v>
      </c>
      <c r="O162" s="4">
        <v>-9160000</v>
      </c>
      <c r="P162" s="3" t="s">
        <v>24</v>
      </c>
      <c r="Q162" s="3">
        <v>-2000000</v>
      </c>
      <c r="R162" s="3">
        <v>-3000000</v>
      </c>
      <c r="S162" s="3">
        <v>-4160000</v>
      </c>
    </row>
    <row r="163" spans="1:19" ht="16" x14ac:dyDescent="0.2">
      <c r="A163" s="2" t="s">
        <v>165</v>
      </c>
      <c r="B163" s="3" t="s">
        <v>24</v>
      </c>
      <c r="C163" s="3" t="s">
        <v>24</v>
      </c>
      <c r="D163" s="3" t="s">
        <v>24</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t="s">
        <v>24</v>
      </c>
      <c r="C164" s="3" t="s">
        <v>24</v>
      </c>
      <c r="D164" s="3" t="s">
        <v>24</v>
      </c>
      <c r="E164" s="3" t="s">
        <v>24</v>
      </c>
      <c r="F164" s="3" t="s">
        <v>24</v>
      </c>
      <c r="G164" s="3" t="s">
        <v>24</v>
      </c>
      <c r="H164" s="3" t="s">
        <v>24</v>
      </c>
      <c r="I164" s="3" t="s">
        <v>24</v>
      </c>
      <c r="J164" s="3" t="s">
        <v>24</v>
      </c>
      <c r="K164" s="3" t="s">
        <v>24</v>
      </c>
      <c r="L164" s="3">
        <v>-74168000</v>
      </c>
      <c r="M164" s="3">
        <v>-7000000</v>
      </c>
      <c r="N164" s="3">
        <v>-5000000</v>
      </c>
      <c r="O164" s="4">
        <v>-9160000</v>
      </c>
      <c r="P164" s="3" t="s">
        <v>24</v>
      </c>
      <c r="Q164" s="3">
        <v>-2000000</v>
      </c>
      <c r="R164" s="3">
        <v>-3000000</v>
      </c>
      <c r="S164" s="3">
        <v>-4160000</v>
      </c>
    </row>
    <row r="165" spans="1:19" ht="16" x14ac:dyDescent="0.2">
      <c r="A165" s="2" t="s">
        <v>167</v>
      </c>
      <c r="B165" s="3" t="s">
        <v>24</v>
      </c>
      <c r="C165" s="3">
        <v>23332000</v>
      </c>
      <c r="D165" s="3">
        <v>-157339000</v>
      </c>
      <c r="E165" s="3">
        <v>3563000</v>
      </c>
      <c r="F165" s="3">
        <v>-24534000</v>
      </c>
      <c r="G165" s="3">
        <v>-51118000</v>
      </c>
      <c r="H165" s="3">
        <v>-247627000</v>
      </c>
      <c r="I165" s="3">
        <v>-19113000</v>
      </c>
      <c r="J165" s="3">
        <v>5469000</v>
      </c>
      <c r="K165" s="3" t="s">
        <v>24</v>
      </c>
      <c r="L165" s="3">
        <v>-74168000</v>
      </c>
      <c r="M165" s="3">
        <v>-780334000</v>
      </c>
      <c r="N165" s="3">
        <v>-386886000</v>
      </c>
      <c r="O165" s="4">
        <v>-431355000</v>
      </c>
      <c r="P165" s="3" t="s">
        <v>24</v>
      </c>
      <c r="Q165" s="3">
        <v>-430723000</v>
      </c>
      <c r="R165" s="3">
        <v>-226000</v>
      </c>
      <c r="S165" s="3">
        <v>-406000</v>
      </c>
    </row>
    <row r="166" spans="1:19" ht="16" x14ac:dyDescent="0.2">
      <c r="A166" s="2" t="s">
        <v>168</v>
      </c>
      <c r="B166" s="3" t="s">
        <v>24</v>
      </c>
      <c r="C166" s="3">
        <v>23332000</v>
      </c>
      <c r="D166" s="3">
        <v>625000</v>
      </c>
      <c r="E166" s="3">
        <v>3563000</v>
      </c>
      <c r="F166" s="3" t="s">
        <v>24</v>
      </c>
      <c r="G166" s="3" t="s">
        <v>24</v>
      </c>
      <c r="H166" s="3" t="s">
        <v>24</v>
      </c>
      <c r="I166" s="3" t="s">
        <v>24</v>
      </c>
      <c r="J166" s="3">
        <v>5469000</v>
      </c>
      <c r="K166" s="3" t="s">
        <v>24</v>
      </c>
      <c r="L166" s="3" t="s">
        <v>24</v>
      </c>
      <c r="M166" s="3" t="s">
        <v>24</v>
      </c>
      <c r="N166" s="3">
        <v>53409000</v>
      </c>
      <c r="O166" s="4">
        <v>9346000</v>
      </c>
      <c r="P166" s="3" t="s">
        <v>24</v>
      </c>
      <c r="Q166" s="3">
        <v>9346000</v>
      </c>
      <c r="R166" s="3" t="s">
        <v>24</v>
      </c>
      <c r="S166" s="3" t="s">
        <v>24</v>
      </c>
    </row>
    <row r="167" spans="1:19" ht="16" x14ac:dyDescent="0.2">
      <c r="A167" s="2" t="s">
        <v>169</v>
      </c>
      <c r="B167" s="3" t="s">
        <v>24</v>
      </c>
      <c r="C167" s="3" t="s">
        <v>24</v>
      </c>
      <c r="D167" s="3">
        <v>-157964000</v>
      </c>
      <c r="E167" s="3" t="s">
        <v>24</v>
      </c>
      <c r="F167" s="3">
        <v>-24534000</v>
      </c>
      <c r="G167" s="3">
        <v>-51118000</v>
      </c>
      <c r="H167" s="3">
        <v>-247627000</v>
      </c>
      <c r="I167" s="3">
        <v>-19113000</v>
      </c>
      <c r="J167" s="3" t="s">
        <v>24</v>
      </c>
      <c r="K167" s="3" t="s">
        <v>24</v>
      </c>
      <c r="L167" s="3">
        <v>-74168000</v>
      </c>
      <c r="M167" s="3">
        <v>-780334000</v>
      </c>
      <c r="N167" s="3">
        <v>-440295000</v>
      </c>
      <c r="O167" s="4">
        <v>-440701000</v>
      </c>
      <c r="P167" s="3" t="s">
        <v>24</v>
      </c>
      <c r="Q167" s="3">
        <v>-440069000</v>
      </c>
      <c r="R167" s="3">
        <v>-226000</v>
      </c>
      <c r="S167" s="3">
        <v>-406000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1384000</v>
      </c>
      <c r="C169" s="3">
        <v>-23332000</v>
      </c>
      <c r="D169" s="3" t="s">
        <v>24</v>
      </c>
      <c r="E169" s="3">
        <v>3786000</v>
      </c>
      <c r="F169" s="3" t="s">
        <v>24</v>
      </c>
      <c r="G169" s="3" t="s">
        <v>24</v>
      </c>
      <c r="H169" s="3">
        <v>650000</v>
      </c>
      <c r="I169" s="3">
        <v>1097000</v>
      </c>
      <c r="J169" s="3" t="s">
        <v>24</v>
      </c>
      <c r="K169" s="3" t="s">
        <v>24</v>
      </c>
      <c r="L169" s="3">
        <v>77262000</v>
      </c>
      <c r="M169" s="3">
        <v>-427000</v>
      </c>
      <c r="N169" s="3" t="s">
        <v>24</v>
      </c>
      <c r="O169" s="4">
        <v>44063000</v>
      </c>
      <c r="P169" s="3">
        <v>44063000</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-87400000</v>
      </c>
      <c r="C171" s="3">
        <v>-53593000</v>
      </c>
      <c r="D171" s="3">
        <v>-190452000</v>
      </c>
      <c r="E171" s="3">
        <v>-13556000</v>
      </c>
      <c r="F171" s="3">
        <v>-60575000</v>
      </c>
      <c r="G171" s="3">
        <v>-117753000</v>
      </c>
      <c r="H171" s="3">
        <v>-300896000</v>
      </c>
      <c r="I171" s="3">
        <v>-96453000</v>
      </c>
      <c r="J171" s="3">
        <v>-89212000</v>
      </c>
      <c r="K171" s="3">
        <v>-128079000</v>
      </c>
      <c r="L171" s="3">
        <v>-158284000</v>
      </c>
      <c r="M171" s="3">
        <v>-867725000</v>
      </c>
      <c r="N171" s="3">
        <v>-468016000</v>
      </c>
      <c r="O171" s="4">
        <v>-469336000</v>
      </c>
      <c r="P171" s="3">
        <v>28063000</v>
      </c>
      <c r="Q171" s="3">
        <v>-454387000</v>
      </c>
      <c r="R171" s="3">
        <v>-27958000</v>
      </c>
      <c r="S171" s="3">
        <v>-15054000</v>
      </c>
    </row>
    <row r="172" spans="1:19" ht="16" x14ac:dyDescent="0.2">
      <c r="A172" s="2" t="s">
        <v>173</v>
      </c>
      <c r="B172" s="3" t="s">
        <v>24</v>
      </c>
      <c r="C172" s="3">
        <v>-11906000</v>
      </c>
      <c r="D172" s="3">
        <v>-1122457000</v>
      </c>
      <c r="E172" s="3">
        <v>-345802000</v>
      </c>
      <c r="F172" s="3">
        <v>-215094000</v>
      </c>
      <c r="G172" s="3">
        <v>-80015000</v>
      </c>
      <c r="H172" s="3">
        <v>-92925000</v>
      </c>
      <c r="I172" s="3">
        <v>-103411000</v>
      </c>
      <c r="J172" s="3">
        <v>-114234000</v>
      </c>
      <c r="K172" s="3">
        <v>-146602000</v>
      </c>
      <c r="L172" s="3">
        <v>-181066000</v>
      </c>
      <c r="M172" s="3">
        <v>-209057000</v>
      </c>
      <c r="N172" s="3">
        <v>-235726000</v>
      </c>
      <c r="O172" s="4">
        <v>-239861000</v>
      </c>
      <c r="P172" s="3">
        <v>-56998000</v>
      </c>
      <c r="Q172" s="3">
        <v>-57319000</v>
      </c>
      <c r="R172" s="3">
        <v>-62510000</v>
      </c>
      <c r="S172" s="3">
        <v>-63034000</v>
      </c>
    </row>
    <row r="173" spans="1:19" ht="16" x14ac:dyDescent="0.2">
      <c r="A173" s="2" t="s">
        <v>174</v>
      </c>
      <c r="B173" s="3">
        <v>-596042000</v>
      </c>
      <c r="C173" s="3">
        <v>-30000000</v>
      </c>
      <c r="D173" s="3">
        <v>716893000</v>
      </c>
      <c r="E173" s="3">
        <v>-55563000</v>
      </c>
      <c r="F173" s="3">
        <v>-31125000</v>
      </c>
      <c r="G173" s="3">
        <v>-22063000</v>
      </c>
      <c r="H173" s="3">
        <v>51058000</v>
      </c>
      <c r="I173" s="3">
        <v>150529000</v>
      </c>
      <c r="J173" s="3">
        <v>-68441000</v>
      </c>
      <c r="K173" s="3">
        <v>420969000</v>
      </c>
      <c r="L173" s="3">
        <v>163631000</v>
      </c>
      <c r="M173" s="3">
        <v>434770000</v>
      </c>
      <c r="N173" s="3">
        <v>-2317000</v>
      </c>
      <c r="O173" s="4">
        <v>79465000</v>
      </c>
      <c r="P173" s="3">
        <v>35403000</v>
      </c>
      <c r="Q173" s="3">
        <v>-10312000</v>
      </c>
      <c r="R173" s="3">
        <v>-10313000</v>
      </c>
      <c r="S173" s="3">
        <v>64687000</v>
      </c>
    </row>
    <row r="174" spans="1:19" ht="16" x14ac:dyDescent="0.2">
      <c r="A174" s="2" t="s">
        <v>175</v>
      </c>
      <c r="B174" s="3">
        <v>1041808000</v>
      </c>
      <c r="C174" s="3" t="s">
        <v>24</v>
      </c>
      <c r="D174" s="3">
        <v>1710143000</v>
      </c>
      <c r="E174" s="3">
        <v>300000000</v>
      </c>
      <c r="F174" s="3">
        <v>248438000</v>
      </c>
      <c r="G174" s="3">
        <v>273000000</v>
      </c>
      <c r="H174" s="3">
        <v>1019383000</v>
      </c>
      <c r="I174" s="3">
        <v>467678000</v>
      </c>
      <c r="J174" s="3">
        <v>102071000</v>
      </c>
      <c r="K174" s="3">
        <v>497891000</v>
      </c>
      <c r="L174" s="3">
        <v>691496000</v>
      </c>
      <c r="M174" s="3">
        <v>547027000</v>
      </c>
      <c r="N174" s="3">
        <v>414751000</v>
      </c>
      <c r="O174" s="4">
        <v>489751000</v>
      </c>
      <c r="P174" s="3">
        <v>414751000</v>
      </c>
      <c r="Q174" s="3" t="s">
        <v>24</v>
      </c>
      <c r="R174" s="3" t="s">
        <v>24</v>
      </c>
      <c r="S174" s="3">
        <v>75000000</v>
      </c>
    </row>
    <row r="175" spans="1:19" ht="16" x14ac:dyDescent="0.2">
      <c r="A175" s="2" t="s">
        <v>176</v>
      </c>
      <c r="B175" s="3">
        <v>-1637850000</v>
      </c>
      <c r="C175" s="3">
        <v>-30000000</v>
      </c>
      <c r="D175" s="3">
        <v>-993250000</v>
      </c>
      <c r="E175" s="3">
        <v>-355563000</v>
      </c>
      <c r="F175" s="3">
        <v>-279563000</v>
      </c>
      <c r="G175" s="3">
        <v>-295063000</v>
      </c>
      <c r="H175" s="3">
        <v>-968325000</v>
      </c>
      <c r="I175" s="3">
        <v>-317149000</v>
      </c>
      <c r="J175" s="3">
        <v>-170512000</v>
      </c>
      <c r="K175" s="3">
        <v>-76922000</v>
      </c>
      <c r="L175" s="3">
        <v>-527865000</v>
      </c>
      <c r="M175" s="3">
        <v>-112257000</v>
      </c>
      <c r="N175" s="3">
        <v>-417068000</v>
      </c>
      <c r="O175" s="4">
        <v>-410286000</v>
      </c>
      <c r="P175" s="3">
        <v>-379348000</v>
      </c>
      <c r="Q175" s="3">
        <v>-10312000</v>
      </c>
      <c r="R175" s="3">
        <v>-10313000</v>
      </c>
      <c r="S175" s="3">
        <v>-10313000</v>
      </c>
    </row>
    <row r="176" spans="1:19" ht="16" x14ac:dyDescent="0.2">
      <c r="A176" s="2" t="s">
        <v>177</v>
      </c>
      <c r="B176" s="3">
        <v>251135000</v>
      </c>
      <c r="C176" s="3">
        <v>3380000</v>
      </c>
      <c r="D176" s="3">
        <v>5306000</v>
      </c>
      <c r="E176" s="3">
        <v>1369000</v>
      </c>
      <c r="F176" s="3">
        <v>-57120000</v>
      </c>
      <c r="G176" s="3">
        <v>-57175000</v>
      </c>
      <c r="H176" s="3">
        <v>-40234000</v>
      </c>
      <c r="I176" s="3">
        <v>-261411000</v>
      </c>
      <c r="J176" s="3">
        <v>-241558000</v>
      </c>
      <c r="K176" s="3">
        <v>-167237000</v>
      </c>
      <c r="L176" s="3">
        <v>-293989000</v>
      </c>
      <c r="M176" s="3">
        <v>-395488000</v>
      </c>
      <c r="N176" s="3">
        <v>-199195000</v>
      </c>
      <c r="O176" s="4">
        <v>-253344000</v>
      </c>
      <c r="P176" s="3">
        <v>-23898000</v>
      </c>
      <c r="Q176" s="3">
        <v>-4858000</v>
      </c>
      <c r="R176" s="3">
        <v>-103123000</v>
      </c>
      <c r="S176" s="3">
        <v>-121465000</v>
      </c>
    </row>
    <row r="177" spans="1:19" ht="16" x14ac:dyDescent="0.2">
      <c r="A177" s="2" t="s">
        <v>178</v>
      </c>
      <c r="B177" s="3">
        <v>251135000</v>
      </c>
      <c r="C177" s="3">
        <v>8757000</v>
      </c>
      <c r="D177" s="3">
        <v>6373000</v>
      </c>
      <c r="E177" s="3">
        <v>5078000</v>
      </c>
      <c r="F177" s="3">
        <v>5020000</v>
      </c>
      <c r="G177" s="3">
        <v>5977000</v>
      </c>
      <c r="H177" s="3">
        <v>6314000</v>
      </c>
      <c r="I177" s="3">
        <v>8907000</v>
      </c>
      <c r="J177" s="3">
        <v>11266000</v>
      </c>
      <c r="K177" s="3">
        <v>14987000</v>
      </c>
      <c r="L177" s="3">
        <v>19408000</v>
      </c>
      <c r="M177" s="3">
        <v>23371000</v>
      </c>
      <c r="N177" s="3">
        <v>24663000</v>
      </c>
      <c r="O177" s="4">
        <v>25507000</v>
      </c>
      <c r="P177" s="3">
        <v>5971000</v>
      </c>
      <c r="Q177" s="3">
        <v>5951000</v>
      </c>
      <c r="R177" s="3">
        <v>6660000</v>
      </c>
      <c r="S177" s="3">
        <v>6925000</v>
      </c>
    </row>
    <row r="178" spans="1:19" ht="16" x14ac:dyDescent="0.2">
      <c r="A178" s="2" t="s">
        <v>179</v>
      </c>
      <c r="B178" s="3" t="s">
        <v>24</v>
      </c>
      <c r="C178" s="3">
        <v>-5377000</v>
      </c>
      <c r="D178" s="3">
        <v>-1067000</v>
      </c>
      <c r="E178" s="3">
        <v>-3709000</v>
      </c>
      <c r="F178" s="3">
        <v>-62140000</v>
      </c>
      <c r="G178" s="3">
        <v>-63152000</v>
      </c>
      <c r="H178" s="3">
        <v>-46548000</v>
      </c>
      <c r="I178" s="3">
        <v>-270318000</v>
      </c>
      <c r="J178" s="3">
        <v>-252824000</v>
      </c>
      <c r="K178" s="3">
        <v>-182224000</v>
      </c>
      <c r="L178" s="3">
        <v>-313397000</v>
      </c>
      <c r="M178" s="3">
        <v>-418859000</v>
      </c>
      <c r="N178" s="3">
        <v>-223858000</v>
      </c>
      <c r="O178" s="4">
        <v>-278851000</v>
      </c>
      <c r="P178" s="3">
        <v>-29869000</v>
      </c>
      <c r="Q178" s="3">
        <v>-10809000</v>
      </c>
      <c r="R178" s="3">
        <v>-109783000</v>
      </c>
      <c r="S178" s="3">
        <v>-128390000</v>
      </c>
    </row>
    <row r="179" spans="1:19" ht="16" x14ac:dyDescent="0.2">
      <c r="A179" s="2" t="s">
        <v>180</v>
      </c>
      <c r="B179" s="3">
        <v>20764000</v>
      </c>
      <c r="C179" s="3">
        <v>23810000</v>
      </c>
      <c r="D179" s="3">
        <v>-7928000</v>
      </c>
      <c r="E179" s="3">
        <v>-9556000</v>
      </c>
      <c r="F179" s="3">
        <v>1179000</v>
      </c>
      <c r="G179" s="3">
        <v>8084000</v>
      </c>
      <c r="H179" s="3">
        <v>30608000</v>
      </c>
      <c r="I179" s="3">
        <v>11144000</v>
      </c>
      <c r="J179" s="3">
        <v>10867000</v>
      </c>
      <c r="K179" s="3">
        <v>-72568000</v>
      </c>
      <c r="L179" s="3">
        <v>78000</v>
      </c>
      <c r="M179" s="3">
        <v>5929000</v>
      </c>
      <c r="N179" s="3">
        <v>11384000</v>
      </c>
      <c r="O179" s="4">
        <v>17964000</v>
      </c>
      <c r="P179" s="3">
        <v>3396000</v>
      </c>
      <c r="Q179" s="3">
        <v>2713000</v>
      </c>
      <c r="R179" s="3">
        <v>679000</v>
      </c>
      <c r="S179" s="3">
        <v>11176000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-324143000</v>
      </c>
      <c r="C181" s="3">
        <v>-14716000</v>
      </c>
      <c r="D181" s="3">
        <v>-408186000</v>
      </c>
      <c r="E181" s="3">
        <v>-409552000</v>
      </c>
      <c r="F181" s="3">
        <v>-302160000</v>
      </c>
      <c r="G181" s="3">
        <v>-151169000</v>
      </c>
      <c r="H181" s="3">
        <v>-51493000</v>
      </c>
      <c r="I181" s="3">
        <v>-203149000</v>
      </c>
      <c r="J181" s="3">
        <v>-413366000</v>
      </c>
      <c r="K181" s="3">
        <v>34562000</v>
      </c>
      <c r="L181" s="3">
        <v>-311346000</v>
      </c>
      <c r="M181" s="3">
        <v>-163846000</v>
      </c>
      <c r="N181" s="3">
        <v>-425854000</v>
      </c>
      <c r="O181" s="4">
        <v>-395776000</v>
      </c>
      <c r="P181" s="3">
        <v>-42097000</v>
      </c>
      <c r="Q181" s="3">
        <v>-69776000</v>
      </c>
      <c r="R181" s="3">
        <v>-175267000</v>
      </c>
      <c r="S181" s="3">
        <v>-108636000</v>
      </c>
    </row>
    <row r="182" spans="1:1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9" ht="16" x14ac:dyDescent="0.2">
      <c r="A183" s="2" t="s">
        <v>183</v>
      </c>
      <c r="B183" s="3">
        <v>-115204000</v>
      </c>
      <c r="C183" s="3">
        <v>291737000</v>
      </c>
      <c r="D183" s="3">
        <v>-133984000</v>
      </c>
      <c r="E183" s="3">
        <v>-90390000</v>
      </c>
      <c r="F183" s="3">
        <v>-52777000</v>
      </c>
      <c r="G183" s="3">
        <v>-19688000</v>
      </c>
      <c r="H183" s="3">
        <v>29888000</v>
      </c>
      <c r="I183" s="3">
        <v>69541000</v>
      </c>
      <c r="J183" s="3">
        <v>-2968000</v>
      </c>
      <c r="K183" s="3">
        <v>457911000</v>
      </c>
      <c r="L183" s="3">
        <v>249054000</v>
      </c>
      <c r="M183" s="3">
        <v>-295045000</v>
      </c>
      <c r="N183" s="3">
        <v>-291048000</v>
      </c>
      <c r="O183" s="4">
        <v>-288188000</v>
      </c>
      <c r="P183" s="3">
        <v>258692000</v>
      </c>
      <c r="Q183" s="3">
        <v>-385581000</v>
      </c>
      <c r="R183" s="3">
        <v>33923000</v>
      </c>
      <c r="S183" s="3">
        <v>-195222000</v>
      </c>
    </row>
    <row r="184" spans="1:19" ht="16" x14ac:dyDescent="0.2">
      <c r="A184" s="2" t="s">
        <v>54</v>
      </c>
      <c r="B184" s="3">
        <v>400047000</v>
      </c>
      <c r="C184" s="3">
        <v>478297000</v>
      </c>
      <c r="D184" s="3">
        <v>520243000</v>
      </c>
      <c r="E184" s="3">
        <v>532938000</v>
      </c>
      <c r="F184" s="3">
        <v>521482000</v>
      </c>
      <c r="G184" s="3">
        <v>506120000</v>
      </c>
      <c r="H184" s="3">
        <v>543791000</v>
      </c>
      <c r="I184" s="3">
        <v>584841000</v>
      </c>
      <c r="J184" s="3">
        <v>670969000</v>
      </c>
      <c r="K184" s="3">
        <v>750283000</v>
      </c>
      <c r="L184" s="3">
        <v>838686000</v>
      </c>
      <c r="M184" s="3">
        <v>830928000</v>
      </c>
      <c r="N184" s="3">
        <v>612332000</v>
      </c>
      <c r="O184" s="4">
        <v>641300000</v>
      </c>
      <c r="P184" s="3">
        <v>262973000</v>
      </c>
      <c r="Q184" s="3">
        <v>100686000</v>
      </c>
      <c r="R184" s="3">
        <v>1376000</v>
      </c>
      <c r="S184" s="3">
        <v>276265000</v>
      </c>
    </row>
    <row r="185" spans="1:19" ht="16" x14ac:dyDescent="0.2">
      <c r="A185" s="2" t="s">
        <v>55</v>
      </c>
      <c r="B185" s="5">
        <v>7.15</v>
      </c>
      <c r="C185" s="5">
        <v>8.16</v>
      </c>
      <c r="D185" s="5">
        <v>9.0399999999999991</v>
      </c>
      <c r="E185" s="5">
        <v>9.73</v>
      </c>
      <c r="F185" s="5">
        <v>9.89</v>
      </c>
      <c r="G185" s="5">
        <v>9.36</v>
      </c>
      <c r="H185" s="5">
        <v>9.3699999999999992</v>
      </c>
      <c r="I185" s="5">
        <v>9.48</v>
      </c>
      <c r="J185" s="5">
        <v>10.01</v>
      </c>
      <c r="K185" s="5">
        <v>10.050000000000001</v>
      </c>
      <c r="L185" s="5">
        <v>10.67</v>
      </c>
      <c r="M185" s="5">
        <v>9.93</v>
      </c>
      <c r="N185" s="5">
        <v>6.61</v>
      </c>
      <c r="O185" s="6">
        <v>6.64</v>
      </c>
      <c r="P185" s="5">
        <v>10.39</v>
      </c>
      <c r="Q185" s="5">
        <v>8.83</v>
      </c>
      <c r="R185" s="5">
        <v>6.61</v>
      </c>
      <c r="S185" s="5">
        <v>6.64</v>
      </c>
    </row>
    <row r="186" spans="1:19" ht="16" x14ac:dyDescent="0.2">
      <c r="A186" s="2" t="s">
        <v>184</v>
      </c>
      <c r="B186" s="3" t="s">
        <v>24</v>
      </c>
      <c r="C186" s="3">
        <v>-23332000</v>
      </c>
      <c r="D186" s="3">
        <v>157339000</v>
      </c>
      <c r="E186" s="3">
        <v>-3563000</v>
      </c>
      <c r="F186" s="3">
        <v>24534000</v>
      </c>
      <c r="G186" s="3">
        <v>51118000</v>
      </c>
      <c r="H186" s="3">
        <v>247627000</v>
      </c>
      <c r="I186" s="3">
        <v>19113000</v>
      </c>
      <c r="J186" s="3">
        <v>-5469000</v>
      </c>
      <c r="K186" s="3" t="s">
        <v>24</v>
      </c>
      <c r="L186" s="3">
        <v>74168000</v>
      </c>
      <c r="M186" s="3">
        <v>780334000</v>
      </c>
      <c r="N186" s="3">
        <v>386886000</v>
      </c>
      <c r="O186" s="4">
        <v>431355000</v>
      </c>
      <c r="P186" s="3" t="s">
        <v>24</v>
      </c>
      <c r="Q186" s="3">
        <v>430723000</v>
      </c>
      <c r="R186" s="3">
        <v>226000</v>
      </c>
      <c r="S186" s="3">
        <v>406000</v>
      </c>
    </row>
    <row r="187" spans="1:19" ht="16" x14ac:dyDescent="0.2">
      <c r="A187" s="2" t="s">
        <v>185</v>
      </c>
      <c r="B187" s="3">
        <v>207555000</v>
      </c>
      <c r="C187" s="3">
        <v>283121000</v>
      </c>
      <c r="D187" s="3">
        <v>431541000</v>
      </c>
      <c r="E187" s="3">
        <v>311813000</v>
      </c>
      <c r="F187" s="3">
        <v>273917000</v>
      </c>
      <c r="G187" s="3">
        <v>182599000</v>
      </c>
      <c r="H187" s="3">
        <v>328358000</v>
      </c>
      <c r="I187" s="3">
        <v>290706000</v>
      </c>
      <c r="J187" s="3">
        <v>404929000</v>
      </c>
      <c r="K187" s="3">
        <v>423349000</v>
      </c>
      <c r="L187" s="3">
        <v>631474000</v>
      </c>
      <c r="M187" s="3">
        <v>656562000</v>
      </c>
      <c r="N187" s="3">
        <v>526692000</v>
      </c>
      <c r="O187" s="4">
        <v>504040000</v>
      </c>
      <c r="P187" s="3">
        <v>256726000</v>
      </c>
      <c r="Q187" s="3">
        <v>116918000</v>
      </c>
      <c r="R187" s="3">
        <v>212416000</v>
      </c>
      <c r="S187" s="3">
        <v>-82020000</v>
      </c>
    </row>
    <row r="188" spans="1:19" ht="16" x14ac:dyDescent="0.2">
      <c r="A188" s="28" t="s">
        <v>186</v>
      </c>
      <c r="B188" s="26">
        <v>294780614</v>
      </c>
      <c r="C188" s="26">
        <v>316669790</v>
      </c>
      <c r="D188" s="26">
        <v>473343369</v>
      </c>
      <c r="E188" s="26">
        <v>359392433</v>
      </c>
      <c r="F188" s="26">
        <v>317205720</v>
      </c>
      <c r="G188" s="26">
        <v>237482668</v>
      </c>
      <c r="H188" s="26">
        <v>366545963</v>
      </c>
      <c r="I188" s="26">
        <v>348014100</v>
      </c>
      <c r="J188" s="26">
        <v>473518147</v>
      </c>
      <c r="K188" s="26">
        <v>498457077</v>
      </c>
      <c r="L188" s="26">
        <v>683243414</v>
      </c>
      <c r="M188" s="26">
        <v>710784584</v>
      </c>
      <c r="N188" s="26">
        <v>612738777</v>
      </c>
      <c r="O188" s="27">
        <v>605490026</v>
      </c>
      <c r="P188" s="26">
        <v>277353798</v>
      </c>
      <c r="Q188" s="26">
        <v>141212094</v>
      </c>
      <c r="R188" s="26">
        <v>212416000</v>
      </c>
      <c r="S188" s="26">
        <v>-51476734</v>
      </c>
    </row>
    <row r="189" spans="1:19" ht="16" x14ac:dyDescent="0.2">
      <c r="A189" s="21" t="s">
        <v>200</v>
      </c>
      <c r="B189" s="22"/>
      <c r="C189" s="23">
        <f>(C188/B188)-1</f>
        <v>7.4255819278536306E-2</v>
      </c>
      <c r="D189" s="23">
        <f>(D188/C188)-1</f>
        <v>0.49475379069155911</v>
      </c>
      <c r="E189" s="23">
        <f>(E188/D188)-1</f>
        <v>-0.24073630996613793</v>
      </c>
      <c r="F189" s="23">
        <f t="shared" ref="F189:O189" si="11">(F188/E188)-1</f>
        <v>-0.11738342025693127</v>
      </c>
      <c r="G189" s="23">
        <f t="shared" si="11"/>
        <v>-0.25132917527464516</v>
      </c>
      <c r="H189" s="23">
        <f t="shared" si="11"/>
        <v>0.54346406029091776</v>
      </c>
      <c r="I189" s="23">
        <f t="shared" si="11"/>
        <v>-5.0558087854319145E-2</v>
      </c>
      <c r="J189" s="23">
        <f t="shared" si="11"/>
        <v>0.36062920151798439</v>
      </c>
      <c r="K189" s="23">
        <f t="shared" si="11"/>
        <v>5.2667316253879548E-2</v>
      </c>
      <c r="L189" s="23">
        <f t="shared" si="11"/>
        <v>0.3707166484868667</v>
      </c>
      <c r="M189" s="23">
        <f t="shared" si="11"/>
        <v>4.0309455511268188E-2</v>
      </c>
      <c r="N189" s="23">
        <f t="shared" si="11"/>
        <v>-0.1379402553277661</v>
      </c>
      <c r="O189" s="23">
        <f t="shared" si="11"/>
        <v>-1.1830083670386071E-2</v>
      </c>
      <c r="P189" s="23"/>
      <c r="Q189" s="23">
        <f t="shared" ref="Q189:S189" si="12">(Q188/P188)-1</f>
        <v>-0.49085934637174145</v>
      </c>
      <c r="R189" s="23">
        <f t="shared" si="12"/>
        <v>0.50423376626650684</v>
      </c>
      <c r="S189" s="23">
        <f t="shared" si="12"/>
        <v>-1.2423392493974088</v>
      </c>
    </row>
    <row r="190" spans="1:19" ht="16" x14ac:dyDescent="0.2">
      <c r="A190" s="24" t="s">
        <v>201</v>
      </c>
      <c r="B190" s="25">
        <f t="shared" ref="B190:S190" si="13">B188/B2</f>
        <v>5.2721339381781973E-2</v>
      </c>
      <c r="C190" s="25">
        <f t="shared" si="13"/>
        <v>5.4046425649293128E-2</v>
      </c>
      <c r="D190" s="25">
        <f t="shared" si="13"/>
        <v>8.2205369726152513E-2</v>
      </c>
      <c r="E190" s="25">
        <f t="shared" si="13"/>
        <v>6.5598206178006324E-2</v>
      </c>
      <c r="F190" s="25">
        <f t="shared" si="13"/>
        <v>6.0136407843375164E-2</v>
      </c>
      <c r="G190" s="25">
        <f t="shared" si="13"/>
        <v>4.3931590469238425E-2</v>
      </c>
      <c r="H190" s="25">
        <f t="shared" si="13"/>
        <v>6.3150935240246689E-2</v>
      </c>
      <c r="I190" s="25">
        <f t="shared" si="13"/>
        <v>5.6387295679271685E-2</v>
      </c>
      <c r="J190" s="25">
        <f t="shared" si="13"/>
        <v>7.0631792008307825E-2</v>
      </c>
      <c r="K190" s="25">
        <f t="shared" si="13"/>
        <v>6.6782917401375513E-2</v>
      </c>
      <c r="L190" s="25">
        <f t="shared" si="13"/>
        <v>8.6938389639923355E-2</v>
      </c>
      <c r="M190" s="25">
        <f t="shared" si="13"/>
        <v>8.4984466683405674E-2</v>
      </c>
      <c r="N190" s="25">
        <f t="shared" si="13"/>
        <v>6.6178277013355033E-2</v>
      </c>
      <c r="O190" s="25">
        <f t="shared" si="13"/>
        <v>6.2655499282528393E-2</v>
      </c>
      <c r="P190" s="25">
        <f t="shared" si="13"/>
        <v>0.12064231988502708</v>
      </c>
      <c r="Q190" s="25">
        <f t="shared" si="13"/>
        <v>6.2014714497640393E-2</v>
      </c>
      <c r="R190" s="25">
        <f t="shared" si="13"/>
        <v>8.7296841563646477E-2</v>
      </c>
      <c r="S190" s="25">
        <f t="shared" si="13"/>
        <v>-1.9392354678080804E-2</v>
      </c>
    </row>
    <row r="191" spans="1:19" ht="16" x14ac:dyDescent="0.2">
      <c r="A191" s="2" t="s">
        <v>187</v>
      </c>
      <c r="B191" s="3">
        <v>-388487000</v>
      </c>
      <c r="C191" s="3">
        <v>276453000</v>
      </c>
      <c r="D191" s="3">
        <v>1148434000</v>
      </c>
      <c r="E191" s="3">
        <v>256250000</v>
      </c>
      <c r="F191" s="3">
        <v>242792000</v>
      </c>
      <c r="G191" s="3">
        <v>160536000</v>
      </c>
      <c r="H191" s="3">
        <v>379416000</v>
      </c>
      <c r="I191" s="3">
        <v>441235000</v>
      </c>
      <c r="J191" s="3">
        <v>336488000</v>
      </c>
      <c r="K191" s="3">
        <v>844318000</v>
      </c>
      <c r="L191" s="3">
        <v>795105000</v>
      </c>
      <c r="M191" s="3">
        <v>1091332000</v>
      </c>
      <c r="N191" s="3">
        <v>524375000</v>
      </c>
      <c r="O191" s="4">
        <v>583505000</v>
      </c>
      <c r="P191" s="3">
        <v>292129000</v>
      </c>
      <c r="Q191" s="3">
        <v>106606000</v>
      </c>
      <c r="R191" s="3">
        <v>202103000</v>
      </c>
      <c r="S191" s="3">
        <v>-17333000</v>
      </c>
    </row>
    <row r="192" spans="1:19" ht="16" x14ac:dyDescent="0.2">
      <c r="A192" s="2" t="s">
        <v>188</v>
      </c>
      <c r="B192" s="5">
        <v>1.81</v>
      </c>
      <c r="C192" s="5">
        <v>2.1800000000000002</v>
      </c>
      <c r="D192" s="5">
        <v>3.21</v>
      </c>
      <c r="E192" s="5">
        <v>2.21</v>
      </c>
      <c r="F192" s="5">
        <v>1.88</v>
      </c>
      <c r="G192" s="5">
        <v>1.25</v>
      </c>
      <c r="H192" s="5">
        <v>2.2200000000000002</v>
      </c>
      <c r="I192" s="5">
        <v>1.99</v>
      </c>
      <c r="J192" s="5">
        <v>2.85</v>
      </c>
      <c r="K192" s="5">
        <v>3.02</v>
      </c>
      <c r="L192" s="5">
        <v>4.59</v>
      </c>
      <c r="M192" s="5">
        <v>4.8899999999999997</v>
      </c>
      <c r="N192" s="5">
        <v>3.99</v>
      </c>
      <c r="O192" s="6">
        <v>3.82</v>
      </c>
      <c r="P192" s="5">
        <v>1.94</v>
      </c>
      <c r="Q192" s="5">
        <v>0.88</v>
      </c>
      <c r="R192" s="5">
        <v>1.61</v>
      </c>
      <c r="S192" s="5">
        <v>-0.63</v>
      </c>
    </row>
    <row r="193" spans="1:19" ht="16" x14ac:dyDescent="0.2">
      <c r="A193" s="2" t="s">
        <v>189</v>
      </c>
      <c r="B193" s="5">
        <v>5.96</v>
      </c>
      <c r="C193" s="5">
        <v>5.49</v>
      </c>
      <c r="D193" s="5">
        <v>3.91</v>
      </c>
      <c r="E193" s="5">
        <v>9.25</v>
      </c>
      <c r="F193" s="5">
        <v>12.58</v>
      </c>
      <c r="G193" s="5">
        <v>14.35</v>
      </c>
      <c r="H193" s="5">
        <v>12.19</v>
      </c>
      <c r="I193" s="5">
        <v>12.78</v>
      </c>
      <c r="J193" s="5">
        <v>14.01</v>
      </c>
      <c r="K193" s="5">
        <v>14.27</v>
      </c>
      <c r="L193" s="5">
        <v>13.86</v>
      </c>
      <c r="M193" s="5">
        <v>14.51</v>
      </c>
      <c r="N193" s="5">
        <v>18.12</v>
      </c>
      <c r="O193" s="6">
        <v>22.73</v>
      </c>
      <c r="P193" s="3" t="s">
        <v>24</v>
      </c>
      <c r="Q193" s="3" t="s">
        <v>24</v>
      </c>
      <c r="R193" s="5">
        <v>18.489999999999998</v>
      </c>
      <c r="S193" s="5">
        <v>23.3</v>
      </c>
    </row>
    <row r="194" spans="1:19" ht="16" x14ac:dyDescent="0.2">
      <c r="A194" s="2" t="s">
        <v>190</v>
      </c>
      <c r="B194" s="5">
        <v>3.5</v>
      </c>
      <c r="C194" s="5">
        <v>1.5</v>
      </c>
      <c r="D194" s="5">
        <v>2.12</v>
      </c>
      <c r="E194" s="5">
        <v>1.43</v>
      </c>
      <c r="F194" s="5">
        <v>1.33</v>
      </c>
      <c r="G194" s="5">
        <v>0.85</v>
      </c>
      <c r="H194" s="5">
        <v>1.51</v>
      </c>
      <c r="I194" s="5">
        <v>1.21</v>
      </c>
      <c r="J194" s="5">
        <v>1.19</v>
      </c>
      <c r="K194" s="5">
        <v>1.1399999999999999</v>
      </c>
      <c r="L194" s="5">
        <v>1.18</v>
      </c>
      <c r="M194" s="5">
        <v>1.58</v>
      </c>
      <c r="N194" s="5">
        <v>2.2200000000000002</v>
      </c>
      <c r="O194" s="6">
        <v>1.96</v>
      </c>
      <c r="P194" s="5">
        <v>1.6</v>
      </c>
      <c r="Q194" s="5">
        <v>4.47</v>
      </c>
      <c r="R194" s="5">
        <v>-3.47</v>
      </c>
      <c r="S194" s="5">
        <v>-0.44</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R1 A4:S7 A15:S16 A19:S33 A191:S195 A2:S2 A9:S11 A13:S13 A37:S128 A130:S142 B196:S196 A144:S187 A188:Q188 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02198-5A1C-0E43-925F-1CD1DA3A1CE2}">
  <dimension ref="A1:R110"/>
  <sheetViews>
    <sheetView tabSelected="1" workbookViewId="0">
      <selection activeCell="I24" sqref="I24"/>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16709650000</v>
      </c>
      <c r="B3" s="36" t="s">
        <v>202</v>
      </c>
      <c r="C3" s="37">
        <f>Financials!O8*0.01</f>
        <v>0.53620000000000001</v>
      </c>
      <c r="D3" s="36" t="s">
        <v>203</v>
      </c>
      <c r="E3" s="37">
        <f>SUM(C11:E11)/3</f>
        <v>7.4732618267156672E-2</v>
      </c>
      <c r="F3" s="38" t="s">
        <v>204</v>
      </c>
      <c r="G3" s="39">
        <f>AVERAGE(Financials!I129:N129)</f>
        <v>-2.0261210541536973E-2</v>
      </c>
      <c r="H3" s="38" t="s">
        <v>205</v>
      </c>
      <c r="I3" s="40">
        <f>J15*(1+I7)/(I6-I7)</f>
        <v>16430427208.005894</v>
      </c>
      <c r="J3" s="41" t="s">
        <v>206</v>
      </c>
      <c r="K3" s="42">
        <f>(Financials!O172*-1)/Model!A3</f>
        <v>1.4354639385026019E-2</v>
      </c>
      <c r="L3" s="43" t="s">
        <v>207</v>
      </c>
      <c r="M3" s="44"/>
      <c r="N3" s="116" t="s">
        <v>208</v>
      </c>
      <c r="O3" s="117"/>
      <c r="P3" s="44"/>
      <c r="Q3" s="44"/>
      <c r="R3" s="44"/>
    </row>
    <row r="4" spans="1:18" ht="22" customHeight="1" x14ac:dyDescent="0.2">
      <c r="A4" s="45">
        <f>Financials!O56-Financials!O96-Financials!O105</f>
        <v>-2909697000</v>
      </c>
      <c r="B4" s="46" t="s">
        <v>209</v>
      </c>
      <c r="C4" s="47">
        <f>Financials!O17*0.01</f>
        <v>4.9100000000000005E-2</v>
      </c>
      <c r="D4" s="46" t="s">
        <v>210</v>
      </c>
      <c r="E4" s="47">
        <f>SUM(C13:E13)/3</f>
        <v>-0.12984466484806681</v>
      </c>
      <c r="F4" s="48" t="s">
        <v>211</v>
      </c>
      <c r="G4" s="49">
        <f>A5*(1+(5*G3))</f>
        <v>117172795.28070879</v>
      </c>
      <c r="H4" s="48" t="s">
        <v>212</v>
      </c>
      <c r="I4" s="50">
        <f>NPV(I6,F15,G15,H15,I15,(J15+I3))</f>
        <v>14369256742.706541</v>
      </c>
      <c r="J4" s="48" t="s">
        <v>213</v>
      </c>
      <c r="K4" s="51" cm="1">
        <f t="array" ref="K4">_FV(A1,"Change (%)",TRUE)</f>
        <v>2.4215E-2</v>
      </c>
      <c r="L4" s="52" t="s">
        <v>214</v>
      </c>
      <c r="M4" s="44"/>
      <c r="N4" s="118" t="s">
        <v>215</v>
      </c>
      <c r="O4" s="119"/>
      <c r="P4" s="44"/>
      <c r="Q4" s="44"/>
      <c r="R4" s="44"/>
    </row>
    <row r="5" spans="1:18" ht="22" customHeight="1" x14ac:dyDescent="0.2">
      <c r="A5" s="45" cm="1">
        <f t="array" ref="A5">_FV(A1,"Shares outstanding",TRUE)</f>
        <v>130381200</v>
      </c>
      <c r="B5" s="46" t="s">
        <v>216</v>
      </c>
      <c r="C5" s="47">
        <f>F14</f>
        <v>6.2738367658276131E-2</v>
      </c>
      <c r="D5" s="53" t="s">
        <v>217</v>
      </c>
      <c r="E5" s="47">
        <f>SUM(C16:E16)/3</f>
        <v>9.102861622345626E-2</v>
      </c>
      <c r="F5" s="48" t="s">
        <v>218</v>
      </c>
      <c r="G5" s="49">
        <f>Financials!O56</f>
        <v>209640000</v>
      </c>
      <c r="H5" s="48" t="s">
        <v>219</v>
      </c>
      <c r="I5" s="50">
        <f>I4+G5-G6</f>
        <v>11459559742.706541</v>
      </c>
      <c r="J5" s="48" t="s">
        <v>220</v>
      </c>
      <c r="K5" s="54" cm="1">
        <f t="array" ref="K5">_FV(A1,"Price")</f>
        <v>128.16</v>
      </c>
      <c r="L5" s="55" t="s">
        <v>221</v>
      </c>
      <c r="M5" s="44"/>
      <c r="N5" s="56" t="s">
        <v>222</v>
      </c>
      <c r="O5" s="57">
        <f>Financials!O20</f>
        <v>134080000</v>
      </c>
      <c r="P5" s="44"/>
      <c r="Q5" s="44"/>
      <c r="R5" s="44"/>
    </row>
    <row r="6" spans="1:18" ht="22" customHeight="1" x14ac:dyDescent="0.2">
      <c r="A6" s="58">
        <f>O20/F10</f>
        <v>1.5932160564454614</v>
      </c>
      <c r="B6" s="46" t="s">
        <v>223</v>
      </c>
      <c r="C6" s="47">
        <f>F17</f>
        <v>7.7517162471395881E-2</v>
      </c>
      <c r="D6" s="53" t="s">
        <v>201</v>
      </c>
      <c r="E6" s="47">
        <f>Financials!O33/Financials!O126</f>
        <v>0.28964841195944041</v>
      </c>
      <c r="F6" s="46" t="s">
        <v>224</v>
      </c>
      <c r="G6" s="49">
        <f>Financials!O96+Financials!O105</f>
        <v>3119337000</v>
      </c>
      <c r="H6" s="48" t="s">
        <v>225</v>
      </c>
      <c r="I6" s="51">
        <f>N25</f>
        <v>8.738425739171031E-2</v>
      </c>
      <c r="J6" s="48" t="s">
        <v>226</v>
      </c>
      <c r="K6" s="59">
        <f>I5/G4</f>
        <v>97.800515172938191</v>
      </c>
      <c r="L6" s="60" t="s">
        <v>227</v>
      </c>
      <c r="M6" s="44"/>
      <c r="N6" s="56" t="s">
        <v>228</v>
      </c>
      <c r="O6" s="57">
        <f>Financials!O96</f>
        <v>162531000</v>
      </c>
      <c r="P6" s="44"/>
      <c r="Q6" s="44"/>
      <c r="R6" s="44"/>
    </row>
    <row r="7" spans="1:18" ht="22" customHeight="1" thickBot="1" x14ac:dyDescent="0.25">
      <c r="A7" s="61">
        <f>O20/F12</f>
        <v>25.394604863221886</v>
      </c>
      <c r="B7" s="62" t="s">
        <v>229</v>
      </c>
      <c r="C7" s="63">
        <f>F15/A3</f>
        <v>4.8654519992938211E-2</v>
      </c>
      <c r="D7" s="62" t="s">
        <v>230</v>
      </c>
      <c r="E7" s="64">
        <f>(Financials!O16*(1-0.25))/(Financials!O126+Financials!O105+Financials!O96)</f>
        <v>8.595700665891759E-2</v>
      </c>
      <c r="F7" s="62" t="s">
        <v>197</v>
      </c>
      <c r="G7" s="65">
        <f>(Financials!O96+Financials!O105)/Financials!O126</f>
        <v>3.0669805746108185</v>
      </c>
      <c r="H7" s="66" t="s">
        <v>231</v>
      </c>
      <c r="I7" s="67">
        <v>2.5000000000000001E-2</v>
      </c>
      <c r="J7" s="68" t="s">
        <v>232</v>
      </c>
      <c r="K7" s="69">
        <f>K6/K5-1</f>
        <v>-0.23688736600391547</v>
      </c>
      <c r="L7" s="70" t="s">
        <v>233</v>
      </c>
      <c r="M7" s="44"/>
      <c r="N7" s="56" t="s">
        <v>234</v>
      </c>
      <c r="O7" s="57">
        <f>Financials!O105</f>
        <v>2956806000</v>
      </c>
      <c r="P7" s="44"/>
      <c r="Q7" s="44"/>
      <c r="R7" s="44"/>
    </row>
    <row r="8" spans="1:18" ht="22" customHeight="1" x14ac:dyDescent="0.2">
      <c r="A8" s="71"/>
      <c r="B8" s="44"/>
      <c r="C8" s="44"/>
      <c r="D8" s="44"/>
      <c r="E8" s="44"/>
      <c r="F8" s="44"/>
      <c r="G8" s="44"/>
      <c r="H8" s="44"/>
      <c r="I8" s="44"/>
      <c r="J8" s="72"/>
      <c r="K8" s="72"/>
      <c r="L8" s="72"/>
      <c r="M8" s="44"/>
      <c r="N8" s="73" t="s">
        <v>215</v>
      </c>
      <c r="O8" s="74">
        <f>O5/(O6+O7)</f>
        <v>4.2983492966614377E-2</v>
      </c>
      <c r="P8" s="44"/>
      <c r="Q8" s="44"/>
      <c r="R8" s="44"/>
    </row>
    <row r="9" spans="1:18" ht="22" customHeight="1" x14ac:dyDescent="0.2">
      <c r="A9" s="75"/>
      <c r="B9" s="76">
        <v>2020</v>
      </c>
      <c r="C9" s="76">
        <v>2021</v>
      </c>
      <c r="D9" s="76">
        <v>2022</v>
      </c>
      <c r="E9" s="77">
        <v>2023</v>
      </c>
      <c r="F9" s="78">
        <v>2024</v>
      </c>
      <c r="G9" s="79">
        <v>2025</v>
      </c>
      <c r="H9" s="79">
        <v>2026</v>
      </c>
      <c r="I9" s="79">
        <v>2027</v>
      </c>
      <c r="J9" s="80">
        <v>2028</v>
      </c>
      <c r="K9" s="72"/>
      <c r="L9" s="72"/>
      <c r="M9" s="72"/>
      <c r="N9" s="56" t="s">
        <v>235</v>
      </c>
      <c r="O9" s="57">
        <f>Financials!O25</f>
        <v>94725000</v>
      </c>
      <c r="P9" s="44"/>
      <c r="Q9" s="44"/>
      <c r="R9" s="44"/>
    </row>
    <row r="10" spans="1:18" ht="22" customHeight="1" x14ac:dyDescent="0.2">
      <c r="A10" s="81" t="s">
        <v>236</v>
      </c>
      <c r="B10" s="82">
        <v>7463841000</v>
      </c>
      <c r="C10" s="82">
        <v>7858938000</v>
      </c>
      <c r="D10" s="82">
        <v>8363700000</v>
      </c>
      <c r="E10" s="83">
        <v>9258911000</v>
      </c>
      <c r="F10" s="82">
        <v>10488000000</v>
      </c>
      <c r="G10" s="82">
        <v>11236000000</v>
      </c>
      <c r="H10" s="82">
        <v>11673000000</v>
      </c>
      <c r="I10" s="82">
        <v>12000000000</v>
      </c>
      <c r="J10" s="83">
        <v>12300000000</v>
      </c>
      <c r="K10" s="84" t="s">
        <v>237</v>
      </c>
      <c r="L10" s="72"/>
      <c r="N10" s="56" t="s">
        <v>238</v>
      </c>
      <c r="O10" s="57">
        <f>Financials!O24</f>
        <v>389235000</v>
      </c>
      <c r="P10" s="44"/>
      <c r="Q10" s="44"/>
      <c r="R10" s="44"/>
    </row>
    <row r="11" spans="1:18" ht="22" customHeight="1" x14ac:dyDescent="0.2">
      <c r="A11" s="85"/>
      <c r="B11" s="86"/>
      <c r="C11" s="86">
        <f t="shared" ref="C11:J11" si="0">(C10/B10)-1</f>
        <v>5.2934809302609631E-2</v>
      </c>
      <c r="D11" s="86">
        <f t="shared" si="0"/>
        <v>6.4227762071669137E-2</v>
      </c>
      <c r="E11" s="86">
        <f t="shared" si="0"/>
        <v>0.10703528342719126</v>
      </c>
      <c r="F11" s="87">
        <f t="shared" si="0"/>
        <v>0.1327466048653021</v>
      </c>
      <c r="G11" s="86">
        <f t="shared" si="0"/>
        <v>7.1319603356216676E-2</v>
      </c>
      <c r="H11" s="86">
        <f t="shared" si="0"/>
        <v>3.8892844428622286E-2</v>
      </c>
      <c r="I11" s="86">
        <f t="shared" si="0"/>
        <v>2.8013364173734345E-2</v>
      </c>
      <c r="J11" s="88">
        <f t="shared" si="0"/>
        <v>2.4999999999999911E-2</v>
      </c>
      <c r="K11" s="88">
        <f>AVERAGE(F11:J11)</f>
        <v>5.9194483364775063E-2</v>
      </c>
      <c r="L11" s="72"/>
      <c r="M11" s="72"/>
      <c r="N11" s="56" t="s">
        <v>239</v>
      </c>
      <c r="O11" s="89">
        <f>O9/O10</f>
        <v>0.24336197926702377</v>
      </c>
      <c r="P11" s="44"/>
      <c r="Q11" s="44"/>
      <c r="R11" s="44"/>
    </row>
    <row r="12" spans="1:18" ht="22" customHeight="1" x14ac:dyDescent="0.2">
      <c r="A12" s="81" t="s">
        <v>142</v>
      </c>
      <c r="B12" s="82">
        <v>482603000</v>
      </c>
      <c r="C12" s="82">
        <v>608958000</v>
      </c>
      <c r="D12" s="82">
        <v>466414000</v>
      </c>
      <c r="E12" s="82">
        <v>271791000</v>
      </c>
      <c r="F12" s="90">
        <v>658000000</v>
      </c>
      <c r="G12" s="82">
        <v>728000000</v>
      </c>
      <c r="H12" s="82">
        <v>790000000</v>
      </c>
      <c r="I12" s="82">
        <v>820000000</v>
      </c>
      <c r="J12" s="83">
        <v>850000000</v>
      </c>
      <c r="K12" s="91" t="s">
        <v>240</v>
      </c>
      <c r="L12" s="72"/>
      <c r="M12" s="72"/>
      <c r="N12" s="56" t="s">
        <v>241</v>
      </c>
      <c r="O12" s="89">
        <f>O8*(1-O11)</f>
        <v>3.252294504244891E-2</v>
      </c>
      <c r="P12" s="44"/>
      <c r="Q12" s="44"/>
      <c r="R12" s="44"/>
    </row>
    <row r="13" spans="1:18" ht="22" customHeight="1" x14ac:dyDescent="0.2">
      <c r="A13" s="85"/>
      <c r="B13" s="86"/>
      <c r="C13" s="86">
        <f t="shared" ref="C13:J13" si="1">(C12/B12)-1</f>
        <v>0.26181975661154189</v>
      </c>
      <c r="D13" s="86">
        <f t="shared" si="1"/>
        <v>-0.23407854072037804</v>
      </c>
      <c r="E13" s="86">
        <f t="shared" si="1"/>
        <v>-0.41727521043536431</v>
      </c>
      <c r="F13" s="87">
        <f t="shared" si="1"/>
        <v>1.4209778837415512</v>
      </c>
      <c r="G13" s="86">
        <f t="shared" si="1"/>
        <v>0.1063829787234043</v>
      </c>
      <c r="H13" s="86">
        <f t="shared" si="1"/>
        <v>8.5164835164835084E-2</v>
      </c>
      <c r="I13" s="86">
        <f t="shared" si="1"/>
        <v>3.7974683544303778E-2</v>
      </c>
      <c r="J13" s="88">
        <f t="shared" si="1"/>
        <v>3.6585365853658569E-2</v>
      </c>
      <c r="K13" s="88">
        <f>AVERAGE(G13:J13)</f>
        <v>6.6526965821550432E-2</v>
      </c>
      <c r="L13" s="72"/>
      <c r="M13" s="72"/>
      <c r="N13" s="118" t="s">
        <v>242</v>
      </c>
      <c r="O13" s="119"/>
      <c r="P13" s="44"/>
      <c r="Q13" s="44"/>
      <c r="R13" s="44"/>
    </row>
    <row r="14" spans="1:18" ht="22" customHeight="1" x14ac:dyDescent="0.2">
      <c r="A14" s="92" t="s">
        <v>243</v>
      </c>
      <c r="B14" s="93">
        <f>B12/B10</f>
        <v>6.4658799671643591E-2</v>
      </c>
      <c r="C14" s="93">
        <f t="shared" ref="C14:J14" si="2">C12/C10</f>
        <v>7.7486042007202494E-2</v>
      </c>
      <c r="D14" s="93">
        <f t="shared" si="2"/>
        <v>5.5766466994272873E-2</v>
      </c>
      <c r="E14" s="93">
        <f t="shared" si="2"/>
        <v>2.9354532082660693E-2</v>
      </c>
      <c r="F14" s="94">
        <f t="shared" si="2"/>
        <v>6.2738367658276131E-2</v>
      </c>
      <c r="G14" s="93">
        <f t="shared" si="2"/>
        <v>6.4791740833036668E-2</v>
      </c>
      <c r="H14" s="93">
        <f t="shared" si="2"/>
        <v>6.7677546474770839E-2</v>
      </c>
      <c r="I14" s="93">
        <f t="shared" si="2"/>
        <v>6.8333333333333329E-2</v>
      </c>
      <c r="J14" s="95">
        <f t="shared" si="2"/>
        <v>6.910569105691057E-2</v>
      </c>
      <c r="K14" s="95"/>
      <c r="L14" s="72"/>
      <c r="M14" s="72"/>
      <c r="N14" s="56" t="s">
        <v>244</v>
      </c>
      <c r="O14" s="89">
        <f>'[1]US Treasury Bonds'!$C$8</f>
        <v>4.2709999999999998E-2</v>
      </c>
      <c r="P14" s="44"/>
      <c r="Q14" s="44"/>
      <c r="R14" s="44"/>
    </row>
    <row r="15" spans="1:18" ht="22" customHeight="1" x14ac:dyDescent="0.2">
      <c r="A15" s="81" t="s">
        <v>185</v>
      </c>
      <c r="B15" s="82">
        <v>498457077</v>
      </c>
      <c r="C15" s="82">
        <v>683243414</v>
      </c>
      <c r="D15" s="82">
        <v>710784584</v>
      </c>
      <c r="E15" s="82">
        <v>612738777</v>
      </c>
      <c r="F15" s="90">
        <v>813000000</v>
      </c>
      <c r="G15" s="82">
        <v>880000000</v>
      </c>
      <c r="H15" s="82">
        <v>937000000</v>
      </c>
      <c r="I15" s="82">
        <v>955000000</v>
      </c>
      <c r="J15" s="83">
        <v>1000000000</v>
      </c>
      <c r="K15" s="91" t="s">
        <v>245</v>
      </c>
      <c r="L15" s="72"/>
      <c r="M15" s="72"/>
      <c r="N15" s="56" t="s">
        <v>246</v>
      </c>
      <c r="O15" s="96">
        <f>1.33</f>
        <v>1.33</v>
      </c>
      <c r="P15" s="44"/>
      <c r="Q15" s="44"/>
      <c r="R15" s="44"/>
    </row>
    <row r="16" spans="1:18" ht="22" customHeight="1" x14ac:dyDescent="0.2">
      <c r="A16" s="97"/>
      <c r="B16" s="86"/>
      <c r="C16" s="86">
        <f t="shared" ref="C16:J16" si="3">(C15/B15)-1</f>
        <v>0.3707166484868667</v>
      </c>
      <c r="D16" s="86">
        <f t="shared" si="3"/>
        <v>4.0309455511268188E-2</v>
      </c>
      <c r="E16" s="86">
        <f t="shared" si="3"/>
        <v>-0.1379402553277661</v>
      </c>
      <c r="F16" s="87">
        <f t="shared" si="3"/>
        <v>0.32682968749013908</v>
      </c>
      <c r="G16" s="86">
        <f t="shared" si="3"/>
        <v>8.2410824108241076E-2</v>
      </c>
      <c r="H16" s="86">
        <f t="shared" si="3"/>
        <v>6.4772727272727204E-2</v>
      </c>
      <c r="I16" s="86">
        <f t="shared" si="3"/>
        <v>1.9210245464247544E-2</v>
      </c>
      <c r="J16" s="88">
        <f t="shared" si="3"/>
        <v>4.7120418848167533E-2</v>
      </c>
      <c r="K16" s="88">
        <f>AVERAGE(F16:J16)</f>
        <v>0.10806878063670448</v>
      </c>
      <c r="L16" s="72"/>
      <c r="M16" s="72"/>
      <c r="N16" s="56" t="s">
        <v>247</v>
      </c>
      <c r="O16" s="89">
        <v>8.4000000000000005E-2</v>
      </c>
      <c r="P16" s="44"/>
      <c r="Q16" s="44"/>
      <c r="R16" s="44"/>
    </row>
    <row r="17" spans="1:18" ht="22" customHeight="1" x14ac:dyDescent="0.2">
      <c r="A17" s="92" t="s">
        <v>201</v>
      </c>
      <c r="B17" s="93">
        <f>B15/B10</f>
        <v>6.6782917401375513E-2</v>
      </c>
      <c r="C17" s="93">
        <f t="shared" ref="C17:J17" si="4">C15/C10</f>
        <v>8.6938389639923355E-2</v>
      </c>
      <c r="D17" s="93">
        <f t="shared" si="4"/>
        <v>8.4984466683405674E-2</v>
      </c>
      <c r="E17" s="95">
        <f t="shared" si="4"/>
        <v>6.6178277013355033E-2</v>
      </c>
      <c r="F17" s="93">
        <f t="shared" si="4"/>
        <v>7.7517162471395881E-2</v>
      </c>
      <c r="G17" s="93">
        <f t="shared" si="4"/>
        <v>7.8319686721253112E-2</v>
      </c>
      <c r="H17" s="93">
        <f t="shared" si="4"/>
        <v>8.0270710185899083E-2</v>
      </c>
      <c r="I17" s="93">
        <f t="shared" si="4"/>
        <v>7.9583333333333339E-2</v>
      </c>
      <c r="J17" s="95">
        <f t="shared" si="4"/>
        <v>8.1300813008130079E-2</v>
      </c>
      <c r="K17" s="95"/>
      <c r="L17" s="72"/>
      <c r="M17" s="72"/>
      <c r="N17" s="98" t="s">
        <v>242</v>
      </c>
      <c r="O17" s="99">
        <f>(O14)+((O15)*(O16-O14))</f>
        <v>9.762570000000001E-2</v>
      </c>
      <c r="P17" s="44"/>
      <c r="Q17" s="44"/>
      <c r="R17" s="44"/>
    </row>
    <row r="18" spans="1:18" ht="22" customHeight="1" x14ac:dyDescent="0.2">
      <c r="A18" s="100" t="s">
        <v>197</v>
      </c>
      <c r="B18" s="101">
        <v>0.14930936814570456</v>
      </c>
      <c r="C18" s="101">
        <v>0.15104046534425095</v>
      </c>
      <c r="D18" s="101">
        <v>0.12394146973720738</v>
      </c>
      <c r="E18" s="101">
        <v>8.2677587849994419E-2</v>
      </c>
      <c r="F18" s="102"/>
      <c r="G18" s="101"/>
      <c r="H18" s="101"/>
      <c r="I18" s="101"/>
      <c r="J18" s="103"/>
      <c r="K18" s="104"/>
      <c r="L18" s="72"/>
      <c r="M18" s="72"/>
      <c r="N18" s="118" t="s">
        <v>248</v>
      </c>
      <c r="O18" s="119"/>
      <c r="P18" s="44"/>
      <c r="Q18" s="44"/>
      <c r="R18" s="44"/>
    </row>
    <row r="19" spans="1:18" ht="22" customHeight="1" x14ac:dyDescent="0.2">
      <c r="A19" s="72"/>
      <c r="B19" s="72"/>
      <c r="C19" s="72"/>
      <c r="D19" s="72"/>
      <c r="E19" s="72"/>
      <c r="F19" s="72" t="s">
        <v>249</v>
      </c>
      <c r="G19" s="72"/>
      <c r="H19" s="72"/>
      <c r="I19" s="72"/>
      <c r="J19" s="72"/>
      <c r="K19" s="72"/>
      <c r="L19" s="72"/>
      <c r="M19" s="72"/>
      <c r="N19" s="56" t="s">
        <v>225</v>
      </c>
      <c r="O19" s="105">
        <f>O6+O7</f>
        <v>3119337000</v>
      </c>
      <c r="P19" s="44"/>
      <c r="Q19" s="44"/>
      <c r="R19" s="44"/>
    </row>
    <row r="20" spans="1:18" ht="22" customHeight="1" x14ac:dyDescent="0.2">
      <c r="B20" s="106"/>
      <c r="C20" s="106"/>
      <c r="D20" s="106"/>
      <c r="E20" s="106"/>
      <c r="F20" s="72"/>
      <c r="G20" s="72"/>
      <c r="H20" s="72"/>
      <c r="I20" s="72"/>
      <c r="J20" s="72"/>
      <c r="K20" s="72"/>
      <c r="L20" s="72"/>
      <c r="M20" s="72"/>
      <c r="N20" s="56" t="s">
        <v>202</v>
      </c>
      <c r="O20" s="105">
        <f>A3</f>
        <v>16709650000</v>
      </c>
      <c r="P20" s="44"/>
      <c r="Q20" s="44"/>
      <c r="R20" s="44"/>
    </row>
    <row r="21" spans="1:18" ht="22" customHeight="1" x14ac:dyDescent="0.2">
      <c r="A21" s="120" t="str" cm="1">
        <f t="array" ref="A21">_FV(A1,"Industry")</f>
        <v>Software &amp; IT Services</v>
      </c>
      <c r="B21" s="120"/>
      <c r="C21" s="121" cm="1">
        <f t="array" ref="C21">_FV(A1,"Year incorporated",TRUE)</f>
        <v>2008</v>
      </c>
      <c r="D21" s="121"/>
      <c r="E21" s="121"/>
      <c r="F21" s="72"/>
      <c r="G21" s="72"/>
      <c r="H21" s="72"/>
      <c r="I21" s="72"/>
      <c r="J21" s="72"/>
      <c r="K21" s="72"/>
      <c r="M21" s="72"/>
      <c r="N21" s="56" t="s">
        <v>250</v>
      </c>
      <c r="O21" s="105">
        <f>O19+O20</f>
        <v>19828987000</v>
      </c>
      <c r="P21" s="44"/>
      <c r="Q21" s="44"/>
      <c r="R21" s="44"/>
    </row>
    <row r="22" spans="1:18" ht="22" customHeight="1" x14ac:dyDescent="0.2">
      <c r="A22" s="109" t="str" cm="1">
        <f t="array" ref="A22">_FV(A1,"Description")</f>
        <v>Booz Allen Hamilton Holding Corporation is a holding company. The Company provides management and technology consulting, analytics, engineering, digital solutions, mission operations, and cyber services to United States (US) and international governments, major corporations, and not-for-profit organizations. Its analytics service offering focuses on providing solutions the areas of artificial intelligence (AI), such as machine learning (ML), deep learning, data science, such as data engineering and predictive modeling, automation and decision analytics, and emerging areas, such as quantum computing. Its consulting service offering focuses on the talent and expertise needed to solve client problems and develop mission-oriented solutions for specific domains, business strategies, human capital, and operations through new approaches. Its engineering solutions deliver engineering services and solutions to define, develop, implement, sustain, and modernize complex physical systems.</v>
      </c>
      <c r="B22" s="109"/>
      <c r="C22" s="109"/>
      <c r="D22" s="109"/>
      <c r="E22" s="109"/>
      <c r="F22" s="72"/>
      <c r="G22" s="72"/>
      <c r="H22" s="72"/>
      <c r="I22" s="72"/>
      <c r="J22" s="72"/>
      <c r="K22" s="72"/>
      <c r="L22" s="72"/>
      <c r="M22" s="72"/>
      <c r="N22" s="73" t="s">
        <v>251</v>
      </c>
      <c r="O22" s="107">
        <f>(O19/O21)</f>
        <v>0.15731196959279867</v>
      </c>
      <c r="P22" s="44"/>
      <c r="Q22" s="44"/>
      <c r="R22" s="44"/>
    </row>
    <row r="23" spans="1:18" ht="22" customHeight="1" x14ac:dyDescent="0.2">
      <c r="A23" s="109"/>
      <c r="B23" s="109"/>
      <c r="C23" s="109"/>
      <c r="D23" s="109"/>
      <c r="E23" s="109"/>
      <c r="F23" s="72"/>
      <c r="G23" s="72"/>
      <c r="H23" s="72"/>
      <c r="I23" s="72"/>
      <c r="J23" s="72"/>
      <c r="K23" s="72"/>
      <c r="L23" s="72"/>
      <c r="M23" s="72"/>
      <c r="N23" s="98" t="s">
        <v>252</v>
      </c>
      <c r="O23" s="108">
        <f>O20/O21</f>
        <v>0.84268803040720131</v>
      </c>
      <c r="P23" s="44"/>
      <c r="Q23" s="44"/>
      <c r="R23" s="44"/>
    </row>
    <row r="24" spans="1:18" ht="22" customHeight="1" x14ac:dyDescent="0.2">
      <c r="A24" s="109"/>
      <c r="B24" s="109"/>
      <c r="C24" s="109"/>
      <c r="D24" s="109"/>
      <c r="E24" s="109"/>
      <c r="F24" s="72"/>
      <c r="G24" s="72"/>
      <c r="H24" s="72"/>
      <c r="I24" s="72"/>
      <c r="J24" s="72"/>
      <c r="K24" s="72"/>
      <c r="L24" s="72"/>
      <c r="M24" s="72"/>
      <c r="N24" s="110" t="s">
        <v>253</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8.738425739171031E-2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FICO/explorer/revenue_proj" xr:uid="{A7F3B566-4298-0547-AEF9-1A0D801E06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2023-12-03T15:41:50Z</dcterms:modified>
</cp:coreProperties>
</file>